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siay\OneDrive\Escritorio\"/>
    </mc:Choice>
  </mc:AlternateContent>
  <xr:revisionPtr revIDLastSave="0" documentId="8_{C1D14407-6759-4334-8621-5C8C7BAAC7A7}" xr6:coauthVersionLast="47" xr6:coauthVersionMax="47" xr10:uidLastSave="{00000000-0000-0000-0000-000000000000}"/>
  <bookViews>
    <workbookView xWindow="-108" yWindow="-108" windowWidth="23256" windowHeight="12456" tabRatio="806" firstSheet="1" activeTab="2" xr2:uid="{38839B19-6B95-4D4E-A7DD-38E61C6FBD06}"/>
  </bookViews>
  <sheets>
    <sheet name="PLANTEAMIENTO" sheetId="1" r:id="rId1"/>
    <sheet name="PLANTILLA" sheetId="15" r:id="rId2"/>
    <sheet name="Capítulo 1" sheetId="3" r:id="rId3"/>
    <sheet name="Capítulo 2" sheetId="4" r:id="rId4"/>
    <sheet name="Capítulo 3" sheetId="5" r:id="rId5"/>
    <sheet name="Capítulo 4" sheetId="6" r:id="rId6"/>
    <sheet name="Capítulo 5" sheetId="7" r:id="rId7"/>
    <sheet name="Capítulo 6" sheetId="8" r:id="rId8"/>
    <sheet name="Capítulo 7" sheetId="9" r:id="rId9"/>
    <sheet name="Capítulo 8 y 9" sheetId="10" r:id="rId10"/>
    <sheet name="Capítulo 10" sheetId="12" r:id="rId11"/>
    <sheet name="Capítulo 11" sheetId="13" r:id="rId12"/>
    <sheet name="Capítulo 12" sheetId="14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0" l="1"/>
  <c r="D15" i="10"/>
  <c r="B14" i="14"/>
  <c r="B13" i="14"/>
  <c r="B14" i="13"/>
  <c r="D14" i="13" s="1"/>
  <c r="E14" i="13" s="1"/>
  <c r="B13" i="13"/>
  <c r="D13" i="13" s="1"/>
  <c r="B12" i="13"/>
  <c r="B14" i="10"/>
  <c r="B13" i="9"/>
  <c r="B12" i="9"/>
  <c r="C12" i="9" s="1"/>
  <c r="C24" i="8"/>
  <c r="C23" i="8"/>
  <c r="E23" i="8" s="1"/>
  <c r="F23" i="8" s="1"/>
  <c r="C22" i="8"/>
  <c r="C20" i="8"/>
  <c r="C21" i="8"/>
  <c r="C19" i="8"/>
  <c r="C18" i="8"/>
  <c r="E18" i="8" s="1"/>
  <c r="F18" i="8" s="1"/>
  <c r="C12" i="7"/>
  <c r="E12" i="7" s="1"/>
  <c r="C27" i="15" s="1"/>
  <c r="C11" i="7"/>
  <c r="E11" i="7" s="1"/>
  <c r="F11" i="7" s="1"/>
  <c r="C12" i="6"/>
  <c r="E12" i="6" s="1"/>
  <c r="F12" i="6" s="1"/>
  <c r="C11" i="6"/>
  <c r="D14" i="14"/>
  <c r="E14" i="14" s="1"/>
  <c r="B14" i="12"/>
  <c r="B13" i="12"/>
  <c r="B14" i="9"/>
  <c r="E20" i="8"/>
  <c r="F20" i="8" s="1"/>
  <c r="E21" i="8"/>
  <c r="F21" i="8" s="1"/>
  <c r="G12" i="5"/>
  <c r="D20" i="8"/>
  <c r="D21" i="8"/>
  <c r="D22" i="8"/>
  <c r="D23" i="8"/>
  <c r="D24" i="8"/>
  <c r="D19" i="8"/>
  <c r="E19" i="8" s="1"/>
  <c r="G15" i="4"/>
  <c r="I15" i="4" s="1"/>
  <c r="C25" i="4" s="1"/>
  <c r="D13" i="12" s="1"/>
  <c r="E13" i="12" s="1"/>
  <c r="C16" i="3"/>
  <c r="E15" i="4"/>
  <c r="C24" i="4" s="1"/>
  <c r="C8" i="15"/>
  <c r="B68" i="1"/>
  <c r="D13" i="14"/>
  <c r="E13" i="14" s="1"/>
  <c r="D12" i="13"/>
  <c r="E12" i="13" s="1"/>
  <c r="D18" i="12"/>
  <c r="C46" i="15" s="1"/>
  <c r="D14" i="10"/>
  <c r="E14" i="10" s="1"/>
  <c r="E22" i="8"/>
  <c r="F22" i="8" s="1"/>
  <c r="H18" i="5"/>
  <c r="H17" i="5"/>
  <c r="E11" i="6"/>
  <c r="F11" i="6" s="1"/>
  <c r="E13" i="5"/>
  <c r="F13" i="5" s="1"/>
  <c r="E14" i="5"/>
  <c r="F14" i="5" s="1"/>
  <c r="E15" i="5"/>
  <c r="F15" i="5" s="1"/>
  <c r="E16" i="5"/>
  <c r="F16" i="5" s="1"/>
  <c r="E17" i="5"/>
  <c r="F17" i="5" s="1"/>
  <c r="E18" i="5"/>
  <c r="F18" i="5" s="1"/>
  <c r="E19" i="5"/>
  <c r="C20" i="15" s="1"/>
  <c r="E20" i="5"/>
  <c r="F20" i="5" s="1"/>
  <c r="E12" i="5"/>
  <c r="H12" i="5" s="1"/>
  <c r="F21" i="4"/>
  <c r="C37" i="15" l="1"/>
  <c r="E21" i="5"/>
  <c r="F21" i="5" s="1"/>
  <c r="D15" i="13"/>
  <c r="C13" i="9"/>
  <c r="C14" i="9" s="1"/>
  <c r="C38" i="15"/>
  <c r="D36" i="15" s="1"/>
  <c r="E24" i="8"/>
  <c r="F24" i="8" s="1"/>
  <c r="E19" i="4"/>
  <c r="C30" i="15"/>
  <c r="F19" i="8"/>
  <c r="C17" i="15"/>
  <c r="C18" i="15"/>
  <c r="D24" i="4"/>
  <c r="C49" i="15"/>
  <c r="C48" i="15"/>
  <c r="C50" i="15"/>
  <c r="C42" i="15"/>
  <c r="D41" i="15" s="1"/>
  <c r="C32" i="15"/>
  <c r="C34" i="15"/>
  <c r="C29" i="15"/>
  <c r="C31" i="15"/>
  <c r="C33" i="15"/>
  <c r="C26" i="15"/>
  <c r="D25" i="15" s="1"/>
  <c r="C24" i="15"/>
  <c r="C23" i="15"/>
  <c r="D22" i="15" s="1"/>
  <c r="C15" i="15"/>
  <c r="C16" i="15"/>
  <c r="C19" i="15"/>
  <c r="C13" i="15"/>
  <c r="C21" i="15"/>
  <c r="C14" i="15"/>
  <c r="C10" i="15"/>
  <c r="C11" i="15"/>
  <c r="C40" i="15"/>
  <c r="D39" i="15" s="1"/>
  <c r="C68" i="1"/>
  <c r="D25" i="4"/>
  <c r="D15" i="14"/>
  <c r="C52" i="15" s="1"/>
  <c r="D51" i="15" s="1"/>
  <c r="E15" i="14"/>
  <c r="F19" i="5"/>
  <c r="E13" i="13"/>
  <c r="E15" i="13" s="1"/>
  <c r="E18" i="12"/>
  <c r="D16" i="10"/>
  <c r="H19" i="5"/>
  <c r="E13" i="7"/>
  <c r="F13" i="7" s="1"/>
  <c r="F12" i="7"/>
  <c r="E13" i="6"/>
  <c r="F13" i="6" s="1"/>
  <c r="G16" i="5"/>
  <c r="H16" i="5" s="1"/>
  <c r="F12" i="5"/>
  <c r="G15" i="5"/>
  <c r="H15" i="5" s="1"/>
  <c r="G13" i="5"/>
  <c r="G14" i="5"/>
  <c r="H14" i="5" s="1"/>
  <c r="G20" i="5"/>
  <c r="H20" i="5" s="1"/>
  <c r="C26" i="4"/>
  <c r="E20" i="4"/>
  <c r="F25" i="8" l="1"/>
  <c r="C35" i="15"/>
  <c r="D28" i="15" s="1"/>
  <c r="D47" i="15"/>
  <c r="E25" i="8"/>
  <c r="D12" i="15"/>
  <c r="D26" i="4"/>
  <c r="D9" i="15"/>
  <c r="G21" i="5"/>
  <c r="H13" i="5"/>
  <c r="H21" i="5"/>
  <c r="D14" i="12"/>
  <c r="E21" i="4"/>
  <c r="G21" i="4" s="1"/>
  <c r="E14" i="12" l="1"/>
  <c r="E15" i="12" s="1"/>
  <c r="D15" i="12"/>
  <c r="C45" i="15" s="1"/>
  <c r="D44" i="15" l="1"/>
  <c r="D20" i="12"/>
  <c r="E20" i="12" s="1"/>
  <c r="C7" i="15"/>
  <c r="D6" i="15" s="1"/>
  <c r="B17" i="3"/>
  <c r="C54" i="15" l="1"/>
  <c r="B11" i="10" s="1"/>
  <c r="E15" i="10" s="1"/>
  <c r="E16" i="10" s="1"/>
  <c r="D54" i="15"/>
  <c r="E39" i="15" l="1"/>
  <c r="B10" i="5"/>
  <c r="B9" i="9"/>
  <c r="E25" i="15"/>
  <c r="E28" i="15"/>
  <c r="B9" i="13"/>
  <c r="B10" i="14"/>
  <c r="B8" i="6"/>
  <c r="C12" i="4"/>
  <c r="B15" i="8"/>
  <c r="E41" i="15"/>
  <c r="E51" i="15"/>
  <c r="E12" i="15"/>
  <c r="E47" i="15"/>
  <c r="E36" i="15"/>
  <c r="E6" i="15"/>
  <c r="E54" i="15"/>
  <c r="B7" i="12"/>
  <c r="B8" i="7"/>
  <c r="E22" i="15"/>
  <c r="E44" i="15"/>
  <c r="E9" i="15"/>
  <c r="B13" i="3"/>
  <c r="C15" i="3" l="1"/>
  <c r="C17" i="3" s="1"/>
</calcChain>
</file>

<file path=xl/sharedStrings.xml><?xml version="1.0" encoding="utf-8"?>
<sst xmlns="http://schemas.openxmlformats.org/spreadsheetml/2006/main" count="341" uniqueCount="192">
  <si>
    <t>ACTIVIDAD: ELABORAR UN PRESUPUESTO PARA UN PROYECTO DE OBRA AUDIOVISUAL</t>
  </si>
  <si>
    <t>Planteamiento:</t>
  </si>
  <si>
    <t>Se propone elaborar un presupuesto para la producción de un proyecto audiovisual que tendrá un periodo de realización de 8 meses.</t>
  </si>
  <si>
    <t>Se trata de un cortometraje (20 minutos) de ficción, que se comenzará a rodar dentros de unos cuatro meses.</t>
  </si>
  <si>
    <t>La Directora de Producción te ha pedido que la ayudes con la elaboración del presupuesto. Es tu primera tarea como Cost Controller.</t>
  </si>
  <si>
    <t>En los siguientes Anexos (Pestañas) se proporciona información específica sobre los costes de cada uno de los capítulos del presupuesto.</t>
  </si>
  <si>
    <t>La pestaña PLANTILLA está enlazada con el resto de pestañas para obtener el presupuesto final. Puedes usar esta o crear la tuya propia.</t>
  </si>
  <si>
    <t>Algunas consideraciones generales:</t>
  </si>
  <si>
    <t>El coste total no debe superar los 40.000 euros</t>
  </si>
  <si>
    <t>La obra se rodará en 4 días y requerirá la participación de una actriz y un actor.</t>
  </si>
  <si>
    <t>A modo orientativo, puedes utilizar el desglose del gasto medio por partida presupuestaria (ver abajo), incluida en los contenidos de la Unidad.</t>
  </si>
  <si>
    <t>Abajo se ofrece un rango de precios por partida para que pueda orientarte a determinar el coste final de cada una de ellas.</t>
  </si>
  <si>
    <t>A lo largo de todo el libro Excel, las casillas que contienen fórmulas se han sombreado para que sea fácil su localización.</t>
  </si>
  <si>
    <t>Debes añadir las evidencias (URL del proveedor…) de los costes estimados en aquellos capítulos donde no se especifique ninguna premisa concreta.</t>
  </si>
  <si>
    <t>Igualmente, puedes añadir las observaciones y comentarios que consideres oportunas en las pestañas de cada capítulo.</t>
  </si>
  <si>
    <t>Capítulos de coste (ICAA)</t>
  </si>
  <si>
    <t>Rango de precios</t>
  </si>
  <si>
    <t>CAP. 01.-GUION Y MUSICA</t>
  </si>
  <si>
    <t>Mín.</t>
  </si>
  <si>
    <t>Max.</t>
  </si>
  <si>
    <t>Derechos guion</t>
  </si>
  <si>
    <t>Derechos música</t>
  </si>
  <si>
    <t>CAP. 02.- PERSONAL ARTISTICO</t>
  </si>
  <si>
    <t>Actriz principal</t>
  </si>
  <si>
    <t>Actor secundario</t>
  </si>
  <si>
    <t>CAP. 03.- EQUIPO TECNICO</t>
  </si>
  <si>
    <t>Directora</t>
  </si>
  <si>
    <t>Director de Producción</t>
  </si>
  <si>
    <t>Directora de fotografía</t>
  </si>
  <si>
    <t>Coordinación posproducción</t>
  </si>
  <si>
    <t>Apoyo rodaje</t>
  </si>
  <si>
    <t>Sonido</t>
  </si>
  <si>
    <t>Montador</t>
  </si>
  <si>
    <t>Electricista</t>
  </si>
  <si>
    <t>Maquinista</t>
  </si>
  <si>
    <t>CAP. 04.- ESCENOGRAFIA</t>
  </si>
  <si>
    <t>Alquiler de decorados</t>
  </si>
  <si>
    <t>Alquiler de vestuario</t>
  </si>
  <si>
    <t>CAP. 05.- ESTUDIOS DE RODAJE/SON. Y VARIOS. PRODUCCION</t>
  </si>
  <si>
    <t>Alquiler de sala de montaje</t>
  </si>
  <si>
    <t>Subtitulado para ciegos y sordos</t>
  </si>
  <si>
    <t>CAP. 06.- MAQUINARIA, RODAJE Y TRANSPORTES</t>
  </si>
  <si>
    <t>Alquiler cámara</t>
  </si>
  <si>
    <t>Material iluminación alquilado</t>
  </si>
  <si>
    <t>Material maquinistas alquilado</t>
  </si>
  <si>
    <t>Grupo electrógeno alquilado</t>
  </si>
  <si>
    <t>Equipo de sonido alquilado</t>
  </si>
  <si>
    <t>Furgonetas/coches alquiler</t>
  </si>
  <si>
    <t>Taxis fechas de rodaje</t>
  </si>
  <si>
    <t>CAP. 07.- VIAJES, HOTELES Y COMIDAS</t>
  </si>
  <si>
    <t>Hoteles y comidas rodaje</t>
  </si>
  <si>
    <t>Hoteles y comidas desarrollo/localizaicón</t>
  </si>
  <si>
    <t>CAP. 08.- PELICULA VIRGEN</t>
  </si>
  <si>
    <t>Compra de materiales</t>
  </si>
  <si>
    <t>CAP. 09.- LABORATORIO</t>
  </si>
  <si>
    <t>Costes de postproducción en conjunto</t>
  </si>
  <si>
    <t>CAP. 10.- SEGUROS</t>
  </si>
  <si>
    <t>Seguridad Social Empresa</t>
  </si>
  <si>
    <t>Seguros rodaje</t>
  </si>
  <si>
    <t>CAP. 11.- GASTOS GENERALES</t>
  </si>
  <si>
    <t>Comidas pre y post rodaje</t>
  </si>
  <si>
    <t>Asesoría legal</t>
  </si>
  <si>
    <t>Contabilidad</t>
  </si>
  <si>
    <t>CAP. 12.- GASTOS EXPLOTACION COMERCIO Y FINANCIACION</t>
  </si>
  <si>
    <t>Distribución</t>
  </si>
  <si>
    <t>TOTAL</t>
  </si>
  <si>
    <t>CAP. 01.-GUION Y MUSICA…………………………..................................</t>
  </si>
  <si>
    <t>Derechos de autor</t>
  </si>
  <si>
    <t>Derechos de música original</t>
  </si>
  <si>
    <t>CAP. 02.- PERSONAL ARTISTICO…………………………..………………</t>
  </si>
  <si>
    <t>CAP. 03.- EQUIPO TECNICO……………………………………………….....</t>
  </si>
  <si>
    <t>CAP. 04.- ESCENOGRAFIA………………………………………………..</t>
  </si>
  <si>
    <t>CAP. 05.- ESTUDIOS DE RODAJE/SON. Y VARIOS. PRODUCCION…………………</t>
  </si>
  <si>
    <t>CAP. 06.- MAQUINARIA, RODAJE Y TRANSPORTES…………………</t>
  </si>
  <si>
    <t>CAP. 07.- VIAJES, HOTELES Y COMIDAS………………………………</t>
  </si>
  <si>
    <t>CAP. 08.- PELICULA VIRGEN…………………………………………………</t>
  </si>
  <si>
    <t>CAP. 09.- LABORATORIO…………………………………………………</t>
  </si>
  <si>
    <t>CAP. 10.- SEGUROS ……………...………………………...........................</t>
  </si>
  <si>
    <t>Seguridad Social</t>
  </si>
  <si>
    <t>CAP. 11.- GASTOS GENERALES……………………………………………</t>
  </si>
  <si>
    <t>CAP. 12.- GASTOS EXPLOTACION COMERCIO Y FINANCIACION…</t>
  </si>
  <si>
    <t>TOTAL………………..……………</t>
  </si>
  <si>
    <t>La compra de los derechos sobre el guion original está acordada con la guionista y, en estos momentos se está negociando el coste.</t>
  </si>
  <si>
    <t>Te han encargado cerrar la negociación con la guionista. ¿Cuál es el precio máximo que puedes ofrecer?</t>
  </si>
  <si>
    <t xml:space="preserve">Para tener una idea de los costes visita la página: </t>
  </si>
  <si>
    <t xml:space="preserve">Precios de guion en España en 2023 </t>
  </si>
  <si>
    <t>Las distintas piezas musicales que se usarán en la película ya has sido seleccionadas por la directora.</t>
  </si>
  <si>
    <t>Se estima un coste de los derechos entre los €800 y los €1.200, dependiendo de el tiempo de los cortes</t>
  </si>
  <si>
    <t>Coste total de realización máximo estimado</t>
  </si>
  <si>
    <t>Coste Total presupuestado</t>
  </si>
  <si>
    <t>Porcentaje sobre el total del coste</t>
  </si>
  <si>
    <t xml:space="preserve">Los miembros del equipo artístico trabajarán las mismas jornadas: 4 días de rodaje. </t>
  </si>
  <si>
    <t>Con ambos se ha pactado una remuneración de 500 euros NETOS por día de rodaje.</t>
  </si>
  <si>
    <t>Se proporciona el tipo de retención del IRPF aplicable en ambos casos, según lo han solicitado los propios artistas.</t>
  </si>
  <si>
    <t>Siguiendo el ejemplo que aparece en la Unidad, elabora el presupuesto de personal (necesitarás consultar las Bases de Cotización)</t>
  </si>
  <si>
    <t>A continuación se presenta una plantilla que puedes usar para realizar los cálculos</t>
  </si>
  <si>
    <t>PRESUPUESTO DE COSTES DE PERSONAL</t>
  </si>
  <si>
    <t>Días de rodaje</t>
  </si>
  <si>
    <t>Salario/Día</t>
  </si>
  <si>
    <t>Coste Rem.</t>
  </si>
  <si>
    <t>Base diaria</t>
  </si>
  <si>
    <t>Base Total</t>
  </si>
  <si>
    <t>tipo de cotización (33% de la Base de Cotización)</t>
  </si>
  <si>
    <t>Coste de SS Empresa</t>
  </si>
  <si>
    <t>Salario Bruto</t>
  </si>
  <si>
    <t>Descuentos:</t>
  </si>
  <si>
    <t>Porcentaje aplicable</t>
  </si>
  <si>
    <t>Base de cálculo</t>
  </si>
  <si>
    <t>Neto por día de rodaje</t>
  </si>
  <si>
    <t>IRPF</t>
  </si>
  <si>
    <t>SS de trabajador</t>
  </si>
  <si>
    <t>NETO A PERCIBIR POR EL TRABAJADOR</t>
  </si>
  <si>
    <t>COSTES A PRESUPUESTAR:</t>
  </si>
  <si>
    <t>Porcentaje sobre el total del coste de realización</t>
  </si>
  <si>
    <t>Remuneración bruta</t>
  </si>
  <si>
    <t>Seguridad Social empresa</t>
  </si>
  <si>
    <t>TOTAL COSTE DE PERSONAL</t>
  </si>
  <si>
    <t>El equipo técnico se compone de los miembros relacionados más abajo. Con cada uno de ellos se ha pactado el tipo de relación contractual que se detalla en la lista.</t>
  </si>
  <si>
    <t>Para los miembros que tienen una relación laboral, es necesario hacer el mismo ejercicio de cálculo que para los miembros del equipo artístico.</t>
  </si>
  <si>
    <t>Para los que tienen una relación mercantil es ncesario calcular el coste para todo el trabajo pactado</t>
  </si>
  <si>
    <t>Se facilita el número de días para cada uno  de los servicios prestados.</t>
  </si>
  <si>
    <t>Realiza una búsqueda en internet para obtener estimaciones de los costes por día de cada uno de los miembros.</t>
  </si>
  <si>
    <t>Cargo</t>
  </si>
  <si>
    <t>Tipo de relación</t>
  </si>
  <si>
    <t>Remuneración por día</t>
  </si>
  <si>
    <t>Duración del servicio en días</t>
  </si>
  <si>
    <t>Coste total</t>
  </si>
  <si>
    <t>Porcentaje sobre el coste total de realización</t>
  </si>
  <si>
    <t>Coste Seguridad Social Empresa (33%)</t>
  </si>
  <si>
    <t>Laboral</t>
  </si>
  <si>
    <t>Mercantil</t>
  </si>
  <si>
    <t>Te animamos a que hagas una búsqueda en internet para tener una idea de estos costes. También, sería recomendable contactar con alguna de estas empresas y obtener presupuestos orientativos.</t>
  </si>
  <si>
    <t>La variable Número de unidades a utilizar el el número de días de rodaje.</t>
  </si>
  <si>
    <t>Coste por unidad</t>
  </si>
  <si>
    <t>Número de unidades</t>
  </si>
  <si>
    <t>La cámara que recomienda el director es una Alexa Classic 16:9</t>
  </si>
  <si>
    <t>La lista de materiales de iluminación y maquinistas que se va a utilizar, tiene un coste de entre 400 y 500 euros por día de rodaje</t>
  </si>
  <si>
    <t>El grupo electrógneo tiene un coste de entre 100 y 150 euros al día</t>
  </si>
  <si>
    <t>El alquiler del equipo de sonido tiene un coste de unos 160 euros al día</t>
  </si>
  <si>
    <t xml:space="preserve">Será necesario alquilar una furgoneta para el trasporte de de material y equipos durante el rodaje. </t>
  </si>
  <si>
    <t>En internet puedes encontrar varias páginas de compañías que alquilan furgonetas para cine.</t>
  </si>
  <si>
    <t>Se estima que será necesario contratar unos 25 taxis durante el rodaje, con un coste medio por trayecto de 10 euros.</t>
  </si>
  <si>
    <t>Otra información relevante para los costes del capítulo 6:</t>
  </si>
  <si>
    <t>En los contratos de alquiler de material de iluminación, maquinaria y equipo de sonido, conviene incluir un 3% de incremento para cubrir, posibles pérdidas y deterioros de los materiales alquilados</t>
  </si>
  <si>
    <t>En el alqiler de la furgoneta, también hay que incluir los costes de gasolina y aparcamiento.</t>
  </si>
  <si>
    <t>Coste por día/unidad</t>
  </si>
  <si>
    <t>Los costes de hoteles y comidas ya incurridos durante la fase de preproducción son de €750.</t>
  </si>
  <si>
    <t>Se prevé incurrir en otros €250 en este coste antes de iniciar el rodaje.</t>
  </si>
  <si>
    <t>Para los costes de hoteles y comidas en rodaje se estima un coste de otros €750</t>
  </si>
  <si>
    <t>En el capítulo 08 Película virgen, se incluye solamente el coste de discos duros y otros soportes electrónicos.</t>
  </si>
  <si>
    <t>En la siguiente página web, se pueden encontrar alugnos precios para este tipo de discos duros</t>
  </si>
  <si>
    <t xml:space="preserve">https://avacab-audiovisuales.com/es/discos-duros-551 </t>
  </si>
  <si>
    <t>Se estima que será necesario adquirir 2 discos duros</t>
  </si>
  <si>
    <t>Los costes de postproducción se estiman en un 3% del total del coste de realización.</t>
  </si>
  <si>
    <t>Los costes de Seguridad Social de la empresa se obtienen de las partidas que incluyen personal laboral</t>
  </si>
  <si>
    <t>Los seguros de rodaje, se calculan con un precio por día de rodaje de €125.</t>
  </si>
  <si>
    <t>Coste medio por persona contratada</t>
  </si>
  <si>
    <t>Número de personas contratadas</t>
  </si>
  <si>
    <t>Equipo artístico</t>
  </si>
  <si>
    <t>Equipo técnico</t>
  </si>
  <si>
    <t>Coste Seguridad Social Empresa</t>
  </si>
  <si>
    <t>Total Capítulo 10</t>
  </si>
  <si>
    <t>El gastos de comidas en preproducción y post rodaje se estima en €350 en total</t>
  </si>
  <si>
    <t>Para los gastos de asesoría legal (trámites laborales), tienen un coste de €30 por contrato laboral</t>
  </si>
  <si>
    <t>La constabiliadd la lleva el departamento financiero como parte de su trabajo en la empresa.</t>
  </si>
  <si>
    <t>Se imputa un importe de €30 por día de rodaje</t>
  </si>
  <si>
    <t>La productora prevé usar sus propios medios para publicitar el corto y no tiene previsto imputar estos costes al cortometraje.</t>
  </si>
  <si>
    <t>El único coste a presupuestar es el de la participación cuatro o cinco festivales. Es necesario incluir los costes de inscripción y los de viaje al lugar de celebración.</t>
  </si>
  <si>
    <t xml:space="preserve">https://www.flooxernow.com/noticias/cuanto-costaria-inscribir-pelicula-festival-cine_201804175adeac730cf21c5e26f5685f.html </t>
  </si>
  <si>
    <t>En este punto del presupuesto, debes decidir a cuántos festivales presentar el corto.</t>
  </si>
  <si>
    <t>En cuanto a los viajes para promocionar el corto en los festivales, la variable número de unidades, también es el número de festivales.</t>
  </si>
  <si>
    <t>Número de unidades: festivales</t>
  </si>
  <si>
    <t>Inscripcción</t>
  </si>
  <si>
    <t>Viajes: transporte, alojamiento</t>
  </si>
  <si>
    <r>
      <rPr>
        <b/>
        <u/>
        <sz val="11"/>
        <color rgb="FF000000"/>
        <rFont val="Calibri"/>
        <scheme val="minor"/>
      </rPr>
      <t>Importante:</t>
    </r>
    <r>
      <rPr>
        <sz val="11"/>
        <color rgb="FF000000"/>
        <rFont val="Calibri"/>
        <scheme val="minor"/>
      </rPr>
      <t xml:space="preserve"> Debes tener en cuenta que la pestaña "Plantilla" tiene habilitada y formulada una celda para el coste estimado de la actriz y otra para el coste estimado del actor, y que ambas toman su información de la misma casilla del capítulo 2 (C24). Por este motivo, y dado que se ha pactado el mismo salario con ambos, los cálculos de este capítulo se deben realizar como si se tratara de un único miembro del equipo artístico (x1).</t>
    </r>
  </si>
  <si>
    <t>Tarifas - Kombo Films</t>
  </si>
  <si>
    <t>un 5% del coste</t>
  </si>
  <si>
    <t>A mi parecer falta la base de cotización</t>
  </si>
  <si>
    <t>Estancia Dormitorio | ALQUILER Y VENTA DE MUEBLES Y ATREZZO</t>
  </si>
  <si>
    <t>alquiler vestuario Valencia teatro cine espectáculos fallas</t>
  </si>
  <si>
    <t>Subtitulado especial | Intrawords | Empresa certificada en ISO/UNE</t>
  </si>
  <si>
    <t>tarifas – headroom estudio</t>
  </si>
  <si>
    <t>Alquiler iluminación</t>
  </si>
  <si>
    <t>Alquiler Sony FX6 en Madrid, Málaga y Sevilla | Camaleon Rental ™</t>
  </si>
  <si>
    <t>Grupo electrógeno 4 kvas | Homs Rentals</t>
  </si>
  <si>
    <t>Buscó por el término dolly - AVisual PRO</t>
  </si>
  <si>
    <t>Micrófono de condensador direccional RØDE Videomic Pro - AVisual PRO</t>
  </si>
  <si>
    <t>Car Rental - Rent a Car &amp; Van Worldwide | Europcar</t>
  </si>
  <si>
    <t>https://www.booking.com/hotel/es/kora-lluna.ca.html?label=msn-QPML2*DQyh_oJcr9BCMtlg-80058373651283%3Atikwd-80058526330494%3Aloc-170%3Aneo%3Amte%3Alp164672%3Adec%3Aqshotel+valencia&amp;aid=352053&amp;ucfs=1&amp;arphpl=1&amp;checkin=2026-06-11&amp;checkout=2026-06-14&amp;dest_id=-406131&amp;dest_type=city&amp;group_adults=2&amp;req_adults=2&amp;no_rooms=1&amp;group_children=0&amp;req_children=0&amp;hpos=1&amp;hapos=1&amp;sr_order=popularity&amp;nflt=price%3DEUR-min-120-1&amp;srpvid=290b72292204144f&amp;srepoch=1767111362&amp;all_sr_blocks=1499640903_421638023_0_2_0&amp;highlighted_blocks=1499640903_421638023_0_2_0&amp;matching_block_id=1499640903_421638023_0_2_0&amp;sr_pri_blocks=1499640903_421638023_0_2_0__26106&amp;from=searchresults</t>
  </si>
  <si>
    <t>Stardom SOHOTANK ST4B31 - Caja RAID de 4 Bahías SATA 2.5"/3.5" 10Gbps - Avacab</t>
  </si>
  <si>
    <t>En el subtitulado aparace de unidad el número de minutos</t>
  </si>
  <si>
    <t>Los precios están sin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</si>
</sst>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[$€-2]\ #,##0"/>
    <numFmt numFmtId="166" formatCode="#,##0.00\ &quot;€&quot;"/>
    <numFmt numFmtId="167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9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b/>
      <u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164" fontId="0" fillId="0" borderId="0" xfId="0" applyNumberFormat="1"/>
    <xf numFmtId="0" fontId="2" fillId="0" borderId="0" xfId="0" applyFont="1" applyAlignment="1">
      <alignment vertical="center"/>
    </xf>
    <xf numFmtId="165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5" fontId="2" fillId="0" borderId="0" xfId="0" applyNumberFormat="1" applyFont="1"/>
    <xf numFmtId="0" fontId="4" fillId="0" borderId="0" xfId="0" applyFont="1" applyAlignment="1">
      <alignment horizontal="right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2" applyAlignment="1">
      <alignment horizontal="left" vertical="center"/>
    </xf>
    <xf numFmtId="165" fontId="2" fillId="2" borderId="1" xfId="0" applyNumberFormat="1" applyFont="1" applyFill="1" applyBorder="1"/>
    <xf numFmtId="0" fontId="2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 applyAlignment="1">
      <alignment horizontal="center" vertical="center"/>
    </xf>
    <xf numFmtId="166" fontId="0" fillId="3" borderId="6" xfId="0" applyNumberFormat="1" applyFill="1" applyBorder="1"/>
    <xf numFmtId="9" fontId="0" fillId="3" borderId="6" xfId="1" applyFont="1" applyFill="1" applyBorder="1" applyAlignment="1">
      <alignment horizontal="center" vertical="center"/>
    </xf>
    <xf numFmtId="0" fontId="0" fillId="3" borderId="6" xfId="0" applyFill="1" applyBorder="1"/>
    <xf numFmtId="0" fontId="0" fillId="3" borderId="7" xfId="0" applyFill="1" applyBorder="1"/>
    <xf numFmtId="10" fontId="0" fillId="3" borderId="6" xfId="1" applyNumberFormat="1" applyFont="1" applyFill="1" applyBorder="1" applyAlignment="1">
      <alignment horizontal="center" vertical="center"/>
    </xf>
    <xf numFmtId="0" fontId="2" fillId="3" borderId="8" xfId="0" applyFont="1" applyFill="1" applyBorder="1"/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64" fontId="2" fillId="0" borderId="0" xfId="0" applyNumberFormat="1" applyFont="1"/>
    <xf numFmtId="0" fontId="6" fillId="0" borderId="0" xfId="2"/>
    <xf numFmtId="167" fontId="2" fillId="0" borderId="0" xfId="0" applyNumberFormat="1" applyFont="1" applyAlignment="1">
      <alignment horizontal="center" vertical="center"/>
    </xf>
    <xf numFmtId="167" fontId="0" fillId="0" borderId="0" xfId="0" applyNumberFormat="1"/>
    <xf numFmtId="0" fontId="2" fillId="3" borderId="11" xfId="0" applyFont="1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5" xfId="0" applyFill="1" applyBorder="1"/>
    <xf numFmtId="0" fontId="4" fillId="3" borderId="14" xfId="0" applyFont="1" applyFill="1" applyBorder="1" applyAlignment="1">
      <alignment vertical="center"/>
    </xf>
    <xf numFmtId="0" fontId="8" fillId="3" borderId="16" xfId="0" applyFont="1" applyFill="1" applyBorder="1" applyAlignment="1">
      <alignment horizontal="right" vertical="center"/>
    </xf>
    <xf numFmtId="167" fontId="0" fillId="4" borderId="0" xfId="1" applyNumberFormat="1" applyFont="1" applyFill="1" applyAlignment="1">
      <alignment horizontal="center" vertical="center"/>
    </xf>
    <xf numFmtId="167" fontId="2" fillId="4" borderId="0" xfId="1" applyNumberFormat="1" applyFont="1" applyFill="1" applyAlignment="1">
      <alignment horizontal="center" vertical="center"/>
    </xf>
    <xf numFmtId="165" fontId="2" fillId="4" borderId="0" xfId="0" applyNumberFormat="1" applyFont="1" applyFill="1"/>
    <xf numFmtId="166" fontId="2" fillId="4" borderId="6" xfId="0" applyNumberFormat="1" applyFont="1" applyFill="1" applyBorder="1"/>
    <xf numFmtId="166" fontId="0" fillId="4" borderId="6" xfId="0" applyNumberFormat="1" applyFill="1" applyBorder="1"/>
    <xf numFmtId="166" fontId="2" fillId="4" borderId="7" xfId="0" applyNumberFormat="1" applyFont="1" applyFill="1" applyBorder="1"/>
    <xf numFmtId="0" fontId="0" fillId="4" borderId="9" xfId="0" applyFill="1" applyBorder="1" applyAlignment="1">
      <alignment horizontal="center" vertical="center"/>
    </xf>
    <xf numFmtId="166" fontId="2" fillId="4" borderId="9" xfId="0" applyNumberFormat="1" applyFont="1" applyFill="1" applyBorder="1"/>
    <xf numFmtId="166" fontId="0" fillId="4" borderId="7" xfId="0" applyNumberFormat="1" applyFill="1" applyBorder="1" applyAlignment="1">
      <alignment horizontal="center" vertical="center"/>
    </xf>
    <xf numFmtId="9" fontId="0" fillId="4" borderId="0" xfId="1" applyFont="1" applyFill="1" applyAlignment="1">
      <alignment horizontal="center" vertical="center"/>
    </xf>
    <xf numFmtId="166" fontId="2" fillId="4" borderId="10" xfId="0" applyNumberFormat="1" applyFont="1" applyFill="1" applyBorder="1" applyAlignment="1">
      <alignment horizontal="center" vertical="center"/>
    </xf>
    <xf numFmtId="9" fontId="2" fillId="4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2"/>
    </xf>
    <xf numFmtId="0" fontId="0" fillId="4" borderId="0" xfId="0" applyFill="1" applyAlignment="1">
      <alignment horizontal="center" vertical="center"/>
    </xf>
    <xf numFmtId="165" fontId="0" fillId="4" borderId="0" xfId="0" applyNumberFormat="1" applyFill="1"/>
    <xf numFmtId="164" fontId="0" fillId="4" borderId="0" xfId="0" applyNumberFormat="1" applyFill="1"/>
    <xf numFmtId="0" fontId="0" fillId="4" borderId="0" xfId="0" applyFill="1"/>
    <xf numFmtId="164" fontId="2" fillId="4" borderId="0" xfId="0" applyNumberFormat="1" applyFont="1" applyFill="1"/>
    <xf numFmtId="165" fontId="2" fillId="4" borderId="1" xfId="0" applyNumberFormat="1" applyFont="1" applyFill="1" applyBorder="1"/>
    <xf numFmtId="167" fontId="2" fillId="4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indent="2"/>
    </xf>
    <xf numFmtId="9" fontId="0" fillId="4" borderId="15" xfId="1" applyFont="1" applyFill="1" applyBorder="1"/>
    <xf numFmtId="165" fontId="3" fillId="4" borderId="17" xfId="0" applyNumberFormat="1" applyFont="1" applyFill="1" applyBorder="1" applyAlignment="1">
      <alignment horizontal="right" vertical="center"/>
    </xf>
    <xf numFmtId="164" fontId="0" fillId="3" borderId="0" xfId="0" applyNumberForma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right" vertical="center"/>
    </xf>
    <xf numFmtId="165" fontId="4" fillId="4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65" fontId="0" fillId="4" borderId="17" xfId="0" applyNumberFormat="1" applyFill="1" applyBorder="1"/>
    <xf numFmtId="9" fontId="0" fillId="4" borderId="18" xfId="1" applyFont="1" applyFill="1" applyBorder="1"/>
    <xf numFmtId="0" fontId="9" fillId="0" borderId="0" xfId="0" applyFont="1" applyAlignment="1">
      <alignment horizontal="left" vertical="center" indent="2"/>
    </xf>
    <xf numFmtId="0" fontId="2" fillId="0" borderId="0" xfId="0" applyFont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0" fillId="2" borderId="0" xfId="0" applyFill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73</xdr:row>
      <xdr:rowOff>42128</xdr:rowOff>
    </xdr:from>
    <xdr:to>
      <xdr:col>3</xdr:col>
      <xdr:colOff>550105</xdr:colOff>
      <xdr:row>85</xdr:row>
      <xdr:rowOff>173036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E1EEBA-8296-E471-BE70-C588C1DD3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072328"/>
          <a:ext cx="6331780" cy="23026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ombofilms.com/tarifas/" TargetMode="External"/><Relationship Id="rId1" Type="http://schemas.openxmlformats.org/officeDocument/2006/relationships/hyperlink" Target="https://www.lasolucionelegante.com/precios-de-guion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altvproducciones.com/alquiler-vestuario/" TargetMode="External"/><Relationship Id="rId1" Type="http://schemas.openxmlformats.org/officeDocument/2006/relationships/hyperlink" Target="https://mueblesdecine.com/categoria-producto/estancias/estancia-dormitorio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headroom.es/tarifas/" TargetMode="External"/><Relationship Id="rId1" Type="http://schemas.openxmlformats.org/officeDocument/2006/relationships/hyperlink" Target="https://subtitulado-especial.intrawords.com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homsrentals.com/alquiler-online/generador-electrico-4kvas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camaleonrental.com/es/alquiler-camaras-sony/sony-fx6" TargetMode="External"/><Relationship Id="rId1" Type="http://schemas.openxmlformats.org/officeDocument/2006/relationships/hyperlink" Target="https://www.avisualpro.es/equipos-alquiler/iluminacion/" TargetMode="External"/><Relationship Id="rId6" Type="http://schemas.openxmlformats.org/officeDocument/2006/relationships/hyperlink" Target="https://www.europcar.es/es-es/reservation/vehicles?vehicleType=TR&amp;pickupLocation=VLCP01&amp;dropoffLocation=VLCP01&amp;pickupYear=2026&amp;pickupMonth=01&amp;pickupDay=14&amp;dropoffYear=2026&amp;dropoffMonth=01&amp;dropoffDay=17&amp;pickupHour=13&amp;pickupMinute=15&amp;dropoffHour=10&amp;dropoffMinute=15&amp;driverAge=26&amp;countryOfResidence=ES" TargetMode="External"/><Relationship Id="rId5" Type="http://schemas.openxmlformats.org/officeDocument/2006/relationships/hyperlink" Target="https://www.avisualpro.es/tienda/microfono-de-condensador-direccional-r-de-videomic-pro/" TargetMode="External"/><Relationship Id="rId4" Type="http://schemas.openxmlformats.org/officeDocument/2006/relationships/hyperlink" Target="https://www.avisualpro.es/?s=dolly&amp;post_type=product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avacab-audiovisuales.com/es/raid/4975-stardom-sohotank-st4b31-caja-raid-de-4-bahias-sata-2535-10gbps.html" TargetMode="External"/><Relationship Id="rId1" Type="http://schemas.openxmlformats.org/officeDocument/2006/relationships/hyperlink" Target="https://avacab-audiovisuales.com/es/discos-duros-551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looxernow.com/noticias/cuanto-costaria-inscribir-pelicula-festival-cine_201804175adeac730cf21c5e26f5685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3E599-B8BA-477D-A90A-031142FC8FE4}">
  <sheetPr>
    <tabColor theme="9" tint="-0.249977111117893"/>
  </sheetPr>
  <dimension ref="A1:D71"/>
  <sheetViews>
    <sheetView topLeftCell="A11" zoomScaleNormal="100" workbookViewId="0">
      <selection activeCell="B25" sqref="B25"/>
    </sheetView>
  </sheetViews>
  <sheetFormatPr baseColWidth="10" defaultColWidth="11.44140625" defaultRowHeight="14.4" x14ac:dyDescent="0.3"/>
  <cols>
    <col min="1" max="1" width="64.44140625" style="58" customWidth="1"/>
    <col min="2" max="2" width="11.44140625" style="2"/>
  </cols>
  <sheetData>
    <row r="1" spans="1:1" x14ac:dyDescent="0.3">
      <c r="A1" s="59" t="s">
        <v>0</v>
      </c>
    </row>
    <row r="2" spans="1:1" x14ac:dyDescent="0.3">
      <c r="A2" s="59"/>
    </row>
    <row r="4" spans="1:1" x14ac:dyDescent="0.3">
      <c r="A4" s="59" t="s">
        <v>1</v>
      </c>
    </row>
    <row r="5" spans="1:1" x14ac:dyDescent="0.3">
      <c r="A5" s="58" t="s">
        <v>2</v>
      </c>
    </row>
    <row r="6" spans="1:1" x14ac:dyDescent="0.3">
      <c r="A6" s="58" t="s">
        <v>3</v>
      </c>
    </row>
    <row r="7" spans="1:1" x14ac:dyDescent="0.3">
      <c r="A7" s="58" t="s">
        <v>4</v>
      </c>
    </row>
    <row r="8" spans="1:1" x14ac:dyDescent="0.3">
      <c r="A8" s="58" t="s">
        <v>5</v>
      </c>
    </row>
    <row r="9" spans="1:1" x14ac:dyDescent="0.3">
      <c r="A9" s="58" t="s">
        <v>6</v>
      </c>
    </row>
    <row r="10" spans="1:1" x14ac:dyDescent="0.3">
      <c r="A10" s="58" t="s">
        <v>7</v>
      </c>
    </row>
    <row r="11" spans="1:1" x14ac:dyDescent="0.3">
      <c r="A11" s="63" t="s">
        <v>8</v>
      </c>
    </row>
    <row r="12" spans="1:1" x14ac:dyDescent="0.3">
      <c r="A12" s="63" t="s">
        <v>9</v>
      </c>
    </row>
    <row r="13" spans="1:1" x14ac:dyDescent="0.3">
      <c r="A13" s="63" t="s">
        <v>10</v>
      </c>
    </row>
    <row r="14" spans="1:1" x14ac:dyDescent="0.3">
      <c r="A14" s="63" t="s">
        <v>11</v>
      </c>
    </row>
    <row r="15" spans="1:1" x14ac:dyDescent="0.3">
      <c r="A15" s="63" t="s">
        <v>12</v>
      </c>
    </row>
    <row r="16" spans="1:1" x14ac:dyDescent="0.3">
      <c r="A16" s="81" t="s">
        <v>13</v>
      </c>
    </row>
    <row r="17" spans="1:4" x14ac:dyDescent="0.3">
      <c r="A17" s="81" t="s">
        <v>14</v>
      </c>
    </row>
    <row r="19" spans="1:4" x14ac:dyDescent="0.3">
      <c r="C19" s="5"/>
      <c r="D19" s="6"/>
    </row>
    <row r="20" spans="1:4" x14ac:dyDescent="0.3">
      <c r="A20" s="59" t="s">
        <v>15</v>
      </c>
      <c r="B20" s="82" t="s">
        <v>16</v>
      </c>
      <c r="C20" s="82"/>
      <c r="D20" s="6"/>
    </row>
    <row r="21" spans="1:4" x14ac:dyDescent="0.3">
      <c r="A21" s="60" t="s">
        <v>17</v>
      </c>
      <c r="B21" s="8" t="s">
        <v>18</v>
      </c>
      <c r="C21" s="2" t="s">
        <v>19</v>
      </c>
    </row>
    <row r="22" spans="1:4" x14ac:dyDescent="0.3">
      <c r="A22" s="60" t="s">
        <v>20</v>
      </c>
      <c r="B22" s="4">
        <v>1500</v>
      </c>
      <c r="C22" s="4">
        <v>2500</v>
      </c>
      <c r="D22" s="8"/>
    </row>
    <row r="23" spans="1:4" x14ac:dyDescent="0.3">
      <c r="A23" s="60" t="s">
        <v>21</v>
      </c>
      <c r="B23" s="4">
        <v>800</v>
      </c>
      <c r="C23" s="4">
        <v>1200</v>
      </c>
      <c r="D23" s="8"/>
    </row>
    <row r="24" spans="1:4" x14ac:dyDescent="0.3">
      <c r="A24" s="60" t="s">
        <v>22</v>
      </c>
      <c r="B24" s="4"/>
      <c r="C24" s="4"/>
      <c r="D24" s="8"/>
    </row>
    <row r="25" spans="1:4" x14ac:dyDescent="0.3">
      <c r="A25" s="60" t="s">
        <v>23</v>
      </c>
      <c r="B25" s="4">
        <v>1000</v>
      </c>
      <c r="C25" s="4">
        <v>1500</v>
      </c>
      <c r="D25" s="8"/>
    </row>
    <row r="26" spans="1:4" x14ac:dyDescent="0.3">
      <c r="A26" s="60" t="s">
        <v>24</v>
      </c>
      <c r="B26" s="4">
        <v>1200</v>
      </c>
      <c r="C26" s="4">
        <v>2200</v>
      </c>
      <c r="D26" s="8"/>
    </row>
    <row r="27" spans="1:4" x14ac:dyDescent="0.3">
      <c r="A27" s="60" t="s">
        <v>25</v>
      </c>
      <c r="B27" s="4"/>
      <c r="C27" s="4"/>
      <c r="D27" s="8"/>
    </row>
    <row r="28" spans="1:4" x14ac:dyDescent="0.3">
      <c r="A28" s="60" t="s">
        <v>26</v>
      </c>
      <c r="B28" s="4">
        <v>3000</v>
      </c>
      <c r="C28" s="4">
        <v>4000</v>
      </c>
      <c r="D28" s="8"/>
    </row>
    <row r="29" spans="1:4" x14ac:dyDescent="0.3">
      <c r="A29" s="60" t="s">
        <v>27</v>
      </c>
      <c r="B29" s="4">
        <v>1500</v>
      </c>
      <c r="C29" s="4">
        <v>3400</v>
      </c>
      <c r="D29" s="8"/>
    </row>
    <row r="30" spans="1:4" x14ac:dyDescent="0.3">
      <c r="A30" s="60" t="s">
        <v>28</v>
      </c>
      <c r="B30" s="4">
        <v>800</v>
      </c>
      <c r="C30" s="4">
        <v>2000</v>
      </c>
      <c r="D30" s="8"/>
    </row>
    <row r="31" spans="1:4" x14ac:dyDescent="0.3">
      <c r="A31" s="60" t="s">
        <v>29</v>
      </c>
      <c r="B31" s="4">
        <v>1000</v>
      </c>
      <c r="C31" s="4">
        <v>2000</v>
      </c>
      <c r="D31" s="8"/>
    </row>
    <row r="32" spans="1:4" x14ac:dyDescent="0.3">
      <c r="A32" s="60" t="s">
        <v>30</v>
      </c>
      <c r="B32" s="4">
        <v>500</v>
      </c>
      <c r="C32" s="4">
        <v>900</v>
      </c>
      <c r="D32" s="8"/>
    </row>
    <row r="33" spans="1:4" x14ac:dyDescent="0.3">
      <c r="A33" s="60" t="s">
        <v>31</v>
      </c>
      <c r="B33" s="4">
        <v>900</v>
      </c>
      <c r="C33" s="4">
        <v>1250</v>
      </c>
      <c r="D33" s="8"/>
    </row>
    <row r="34" spans="1:4" x14ac:dyDescent="0.3">
      <c r="A34" s="60" t="s">
        <v>32</v>
      </c>
      <c r="B34" s="4">
        <v>500</v>
      </c>
      <c r="C34" s="4">
        <v>1200</v>
      </c>
      <c r="D34" s="8"/>
    </row>
    <row r="35" spans="1:4" x14ac:dyDescent="0.3">
      <c r="A35" s="60" t="s">
        <v>33</v>
      </c>
      <c r="B35" s="4">
        <v>650</v>
      </c>
      <c r="C35" s="4">
        <v>1500</v>
      </c>
      <c r="D35" s="8"/>
    </row>
    <row r="36" spans="1:4" x14ac:dyDescent="0.3">
      <c r="A36" s="60" t="s">
        <v>34</v>
      </c>
      <c r="B36" s="4">
        <v>800</v>
      </c>
      <c r="C36" s="4">
        <v>1250</v>
      </c>
      <c r="D36" s="8"/>
    </row>
    <row r="37" spans="1:4" x14ac:dyDescent="0.3">
      <c r="A37" s="60" t="s">
        <v>35</v>
      </c>
      <c r="B37" s="4"/>
      <c r="C37" s="4"/>
      <c r="D37" s="8"/>
    </row>
    <row r="38" spans="1:4" x14ac:dyDescent="0.3">
      <c r="A38" s="60" t="s">
        <v>36</v>
      </c>
      <c r="B38" s="4">
        <v>950</v>
      </c>
      <c r="C38" s="4">
        <v>2000</v>
      </c>
      <c r="D38" s="8"/>
    </row>
    <row r="39" spans="1:4" x14ac:dyDescent="0.3">
      <c r="A39" s="60" t="s">
        <v>37</v>
      </c>
      <c r="B39" s="4">
        <v>350</v>
      </c>
      <c r="C39" s="4">
        <v>600</v>
      </c>
      <c r="D39" s="8"/>
    </row>
    <row r="40" spans="1:4" x14ac:dyDescent="0.3">
      <c r="A40" s="60" t="s">
        <v>38</v>
      </c>
      <c r="B40" s="4"/>
      <c r="C40" s="4"/>
      <c r="D40" s="8"/>
    </row>
    <row r="41" spans="1:4" x14ac:dyDescent="0.3">
      <c r="A41" s="60" t="s">
        <v>39</v>
      </c>
      <c r="B41" s="4">
        <v>650</v>
      </c>
      <c r="C41" s="4">
        <v>1200</v>
      </c>
      <c r="D41" s="8"/>
    </row>
    <row r="42" spans="1:4" x14ac:dyDescent="0.3">
      <c r="A42" s="60" t="s">
        <v>40</v>
      </c>
      <c r="B42" s="4">
        <v>375</v>
      </c>
      <c r="C42" s="4">
        <v>600</v>
      </c>
      <c r="D42" s="8"/>
    </row>
    <row r="43" spans="1:4" x14ac:dyDescent="0.3">
      <c r="A43" s="60" t="s">
        <v>41</v>
      </c>
      <c r="B43" s="4"/>
      <c r="C43" s="4"/>
      <c r="D43" s="8"/>
    </row>
    <row r="44" spans="1:4" x14ac:dyDescent="0.3">
      <c r="A44" s="60" t="s">
        <v>42</v>
      </c>
      <c r="B44" s="4">
        <v>1050</v>
      </c>
      <c r="C44" s="4">
        <v>1950</v>
      </c>
      <c r="D44" s="8"/>
    </row>
    <row r="45" spans="1:4" x14ac:dyDescent="0.3">
      <c r="A45" s="60" t="s">
        <v>43</v>
      </c>
      <c r="B45" s="4">
        <v>300</v>
      </c>
      <c r="C45" s="4">
        <v>800</v>
      </c>
      <c r="D45" s="8"/>
    </row>
    <row r="46" spans="1:4" x14ac:dyDescent="0.3">
      <c r="A46" s="60" t="s">
        <v>44</v>
      </c>
      <c r="B46" s="4">
        <v>200</v>
      </c>
      <c r="C46" s="4">
        <v>500</v>
      </c>
      <c r="D46" s="8"/>
    </row>
    <row r="47" spans="1:4" x14ac:dyDescent="0.3">
      <c r="A47" s="60" t="s">
        <v>45</v>
      </c>
      <c r="B47" s="4">
        <v>150</v>
      </c>
      <c r="C47" s="4">
        <v>500</v>
      </c>
      <c r="D47" s="8"/>
    </row>
    <row r="48" spans="1:4" x14ac:dyDescent="0.3">
      <c r="A48" s="60" t="s">
        <v>46</v>
      </c>
      <c r="B48" s="4">
        <v>300</v>
      </c>
      <c r="C48" s="4">
        <v>500</v>
      </c>
      <c r="D48" s="8"/>
    </row>
    <row r="49" spans="1:4" x14ac:dyDescent="0.3">
      <c r="A49" s="60" t="s">
        <v>47</v>
      </c>
      <c r="B49" s="4">
        <v>250</v>
      </c>
      <c r="C49" s="4">
        <v>650</v>
      </c>
      <c r="D49" s="8"/>
    </row>
    <row r="50" spans="1:4" x14ac:dyDescent="0.3">
      <c r="A50" s="60" t="s">
        <v>48</v>
      </c>
      <c r="B50" s="4">
        <v>100</v>
      </c>
      <c r="C50" s="4">
        <v>375</v>
      </c>
      <c r="D50" s="8"/>
    </row>
    <row r="51" spans="1:4" x14ac:dyDescent="0.3">
      <c r="A51" s="60" t="s">
        <v>49</v>
      </c>
      <c r="B51" s="4"/>
      <c r="C51" s="4"/>
      <c r="D51" s="8"/>
    </row>
    <row r="52" spans="1:4" x14ac:dyDescent="0.3">
      <c r="A52" s="60" t="s">
        <v>50</v>
      </c>
      <c r="B52" s="4">
        <v>750</v>
      </c>
      <c r="C52" s="4">
        <v>1600</v>
      </c>
      <c r="D52" s="8"/>
    </row>
    <row r="53" spans="1:4" x14ac:dyDescent="0.3">
      <c r="A53" s="60" t="s">
        <v>51</v>
      </c>
      <c r="B53" s="4">
        <v>550</v>
      </c>
      <c r="C53" s="4">
        <v>850</v>
      </c>
      <c r="D53" s="8"/>
    </row>
    <row r="54" spans="1:4" x14ac:dyDescent="0.3">
      <c r="A54" s="60" t="s">
        <v>52</v>
      </c>
      <c r="B54" s="4"/>
      <c r="C54" s="4"/>
      <c r="D54" s="8"/>
    </row>
    <row r="55" spans="1:4" x14ac:dyDescent="0.3">
      <c r="A55" s="60" t="s">
        <v>53</v>
      </c>
      <c r="B55" s="4">
        <v>350</v>
      </c>
      <c r="C55" s="4">
        <v>650</v>
      </c>
      <c r="D55" s="8"/>
    </row>
    <row r="56" spans="1:4" x14ac:dyDescent="0.3">
      <c r="A56" s="60" t="s">
        <v>54</v>
      </c>
      <c r="B56" s="4"/>
      <c r="C56" s="4"/>
      <c r="D56" s="8"/>
    </row>
    <row r="57" spans="1:4" x14ac:dyDescent="0.3">
      <c r="A57" s="60" t="s">
        <v>55</v>
      </c>
      <c r="B57" s="4">
        <v>875</v>
      </c>
      <c r="C57" s="4">
        <v>1425</v>
      </c>
      <c r="D57" s="8"/>
    </row>
    <row r="58" spans="1:4" x14ac:dyDescent="0.3">
      <c r="A58" s="60"/>
      <c r="B58" s="4"/>
      <c r="C58" s="4"/>
      <c r="D58" s="8"/>
    </row>
    <row r="59" spans="1:4" x14ac:dyDescent="0.3">
      <c r="A59" s="60" t="s">
        <v>56</v>
      </c>
      <c r="B59" s="4"/>
      <c r="C59" s="4"/>
      <c r="D59" s="8"/>
    </row>
    <row r="60" spans="1:4" x14ac:dyDescent="0.3">
      <c r="A60" s="60" t="s">
        <v>57</v>
      </c>
      <c r="B60" s="4">
        <v>2500</v>
      </c>
      <c r="C60" s="4">
        <v>4500</v>
      </c>
      <c r="D60" s="8"/>
    </row>
    <row r="61" spans="1:4" x14ac:dyDescent="0.3">
      <c r="A61" s="60" t="s">
        <v>58</v>
      </c>
      <c r="B61" s="4">
        <v>350</v>
      </c>
      <c r="C61" s="4">
        <v>650</v>
      </c>
      <c r="D61" s="8"/>
    </row>
    <row r="62" spans="1:4" x14ac:dyDescent="0.3">
      <c r="A62" s="60" t="s">
        <v>59</v>
      </c>
      <c r="B62" s="4"/>
      <c r="C62" s="4"/>
      <c r="D62" s="8"/>
    </row>
    <row r="63" spans="1:4" x14ac:dyDescent="0.3">
      <c r="A63" s="60" t="s">
        <v>60</v>
      </c>
      <c r="B63" s="4">
        <v>150</v>
      </c>
      <c r="C63" s="4">
        <v>550</v>
      </c>
      <c r="D63" s="8"/>
    </row>
    <row r="64" spans="1:4" x14ac:dyDescent="0.3">
      <c r="A64" s="60" t="s">
        <v>61</v>
      </c>
      <c r="B64" s="4">
        <v>200</v>
      </c>
      <c r="C64" s="4">
        <v>300</v>
      </c>
      <c r="D64" s="8"/>
    </row>
    <row r="65" spans="1:4" x14ac:dyDescent="0.3">
      <c r="A65" s="60" t="s">
        <v>62</v>
      </c>
      <c r="B65" s="4">
        <v>95</v>
      </c>
      <c r="C65" s="4">
        <v>160</v>
      </c>
      <c r="D65" s="8"/>
    </row>
    <row r="66" spans="1:4" x14ac:dyDescent="0.3">
      <c r="A66" s="60" t="s">
        <v>63</v>
      </c>
      <c r="B66" s="4"/>
      <c r="C66" s="4"/>
      <c r="D66" s="8"/>
    </row>
    <row r="67" spans="1:4" x14ac:dyDescent="0.3">
      <c r="A67" s="60" t="s">
        <v>64</v>
      </c>
      <c r="B67" s="4">
        <v>750</v>
      </c>
      <c r="C67" s="4">
        <v>1800</v>
      </c>
      <c r="D67" s="8"/>
    </row>
    <row r="68" spans="1:4" x14ac:dyDescent="0.3">
      <c r="A68" s="61" t="s">
        <v>65</v>
      </c>
      <c r="B68" s="10">
        <f>SUM(B22:B67)</f>
        <v>25395</v>
      </c>
      <c r="C68" s="10">
        <f>SUM(C22:C67)</f>
        <v>47060</v>
      </c>
      <c r="D68" s="8"/>
    </row>
    <row r="69" spans="1:4" x14ac:dyDescent="0.3">
      <c r="B69" s="4"/>
      <c r="C69" s="4"/>
      <c r="D69" s="8"/>
    </row>
    <row r="70" spans="1:4" x14ac:dyDescent="0.3">
      <c r="A70" s="62"/>
      <c r="B70" s="4"/>
      <c r="C70" s="4"/>
      <c r="D70" s="11"/>
    </row>
    <row r="71" spans="1:4" x14ac:dyDescent="0.3">
      <c r="B71" s="9"/>
      <c r="C71" s="8"/>
      <c r="D71" s="8"/>
    </row>
  </sheetData>
  <mergeCells count="1">
    <mergeCell ref="B20:C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D8619-228C-4FD0-904F-0C339F3EC6B2}">
  <sheetPr>
    <tabColor rgb="FFFFFF00"/>
  </sheetPr>
  <dimension ref="A1:E54"/>
  <sheetViews>
    <sheetView zoomScale="85" zoomScaleNormal="85" workbookViewId="0">
      <selection activeCell="C42" sqref="C42"/>
    </sheetView>
  </sheetViews>
  <sheetFormatPr baseColWidth="10" defaultColWidth="11.44140625" defaultRowHeight="14.4" x14ac:dyDescent="0.3"/>
  <cols>
    <col min="1" max="1" width="10.44140625" customWidth="1"/>
    <col min="2" max="2" width="60.44140625" customWidth="1"/>
    <col min="4" max="4" width="13.77734375" customWidth="1"/>
    <col min="5" max="5" width="10.77734375" customWidth="1"/>
  </cols>
  <sheetData>
    <row r="1" spans="1:5" x14ac:dyDescent="0.3">
      <c r="A1" s="1" t="s">
        <v>0</v>
      </c>
    </row>
    <row r="2" spans="1:5" ht="15" thickBot="1" x14ac:dyDescent="0.35">
      <c r="A2" s="3"/>
    </row>
    <row r="3" spans="1:5" x14ac:dyDescent="0.3">
      <c r="B3" s="40"/>
      <c r="C3" s="41"/>
      <c r="D3" s="41"/>
      <c r="E3" s="42"/>
    </row>
    <row r="4" spans="1:5" x14ac:dyDescent="0.3">
      <c r="B4" s="83" t="s">
        <v>15</v>
      </c>
      <c r="C4" s="74"/>
      <c r="D4" s="32"/>
      <c r="E4" s="43"/>
    </row>
    <row r="5" spans="1:5" x14ac:dyDescent="0.3">
      <c r="A5" s="16"/>
      <c r="B5" s="83"/>
      <c r="C5" s="75"/>
      <c r="D5" s="32"/>
      <c r="E5" s="43"/>
    </row>
    <row r="6" spans="1:5" x14ac:dyDescent="0.3">
      <c r="A6" s="12"/>
      <c r="B6" s="44" t="s">
        <v>66</v>
      </c>
      <c r="C6" s="76"/>
      <c r="D6" s="65">
        <f>SUM(C7:C8)</f>
        <v>3000</v>
      </c>
      <c r="E6" s="72">
        <f>+D6/$C$54</f>
        <v>7.5264357971120216E-2</v>
      </c>
    </row>
    <row r="7" spans="1:5" x14ac:dyDescent="0.3">
      <c r="A7" s="13"/>
      <c r="B7" s="44" t="s">
        <v>67</v>
      </c>
      <c r="C7" s="77">
        <f>+'Capítulo 1'!B15</f>
        <v>2000</v>
      </c>
      <c r="D7" s="32"/>
      <c r="E7" s="43"/>
    </row>
    <row r="8" spans="1:5" x14ac:dyDescent="0.3">
      <c r="A8" s="13"/>
      <c r="B8" s="44" t="s">
        <v>68</v>
      </c>
      <c r="C8" s="77">
        <f>+'Capítulo 1'!B16</f>
        <v>1000</v>
      </c>
      <c r="D8" s="32"/>
      <c r="E8" s="43"/>
    </row>
    <row r="9" spans="1:5" x14ac:dyDescent="0.3">
      <c r="A9" s="12"/>
      <c r="B9" s="44" t="s">
        <v>69</v>
      </c>
      <c r="C9" s="78"/>
      <c r="D9" s="65">
        <f>SUM(C10:C11)</f>
        <v>4894.16</v>
      </c>
      <c r="E9" s="72">
        <f>+D9/$C$54</f>
        <v>0.12278527006931256</v>
      </c>
    </row>
    <row r="10" spans="1:5" x14ac:dyDescent="0.3">
      <c r="A10" s="13"/>
      <c r="B10" s="44" t="s">
        <v>23</v>
      </c>
      <c r="C10" s="77">
        <f>+'Capítulo 2'!C24</f>
        <v>2447.08</v>
      </c>
      <c r="D10" s="32"/>
      <c r="E10" s="43"/>
    </row>
    <row r="11" spans="1:5" x14ac:dyDescent="0.3">
      <c r="A11" s="13"/>
      <c r="B11" s="44" t="s">
        <v>24</v>
      </c>
      <c r="C11" s="77">
        <f>+'Capítulo 2'!C24</f>
        <v>2447.08</v>
      </c>
      <c r="D11" s="32"/>
      <c r="E11" s="43"/>
    </row>
    <row r="12" spans="1:5" x14ac:dyDescent="0.3">
      <c r="A12" s="12"/>
      <c r="B12" s="44" t="s">
        <v>70</v>
      </c>
      <c r="C12" s="78"/>
      <c r="D12" s="65">
        <f>SUM(C13:C21)</f>
        <v>15100</v>
      </c>
      <c r="E12" s="72">
        <f>+D12/$C$54</f>
        <v>0.37883060178797173</v>
      </c>
    </row>
    <row r="13" spans="1:5" x14ac:dyDescent="0.3">
      <c r="A13" s="13"/>
      <c r="B13" s="44" t="s">
        <v>26</v>
      </c>
      <c r="C13" s="77">
        <f>+'Capítulo 3'!E12</f>
        <v>3000</v>
      </c>
      <c r="D13" s="32"/>
      <c r="E13" s="43"/>
    </row>
    <row r="14" spans="1:5" x14ac:dyDescent="0.3">
      <c r="A14" s="13"/>
      <c r="B14" s="44" t="s">
        <v>27</v>
      </c>
      <c r="C14" s="77">
        <f>+'Capítulo 3'!E13</f>
        <v>3200</v>
      </c>
      <c r="D14" s="32"/>
      <c r="E14" s="43"/>
    </row>
    <row r="15" spans="1:5" x14ac:dyDescent="0.3">
      <c r="A15" s="13"/>
      <c r="B15" s="44" t="s">
        <v>28</v>
      </c>
      <c r="C15" s="77">
        <f>+'Capítulo 3'!E14</f>
        <v>1600</v>
      </c>
      <c r="D15" s="32"/>
      <c r="E15" s="43"/>
    </row>
    <row r="16" spans="1:5" x14ac:dyDescent="0.3">
      <c r="A16" s="13"/>
      <c r="B16" s="44" t="s">
        <v>29</v>
      </c>
      <c r="C16" s="77">
        <f>+'Capítulo 3'!E15</f>
        <v>2000</v>
      </c>
      <c r="D16" s="32"/>
      <c r="E16" s="43"/>
    </row>
    <row r="17" spans="1:5" x14ac:dyDescent="0.3">
      <c r="A17" s="13"/>
      <c r="B17" s="44" t="s">
        <v>30</v>
      </c>
      <c r="C17" s="77">
        <f>+'Capítulo 3'!E16</f>
        <v>650</v>
      </c>
      <c r="D17" s="32"/>
      <c r="E17" s="43"/>
    </row>
    <row r="18" spans="1:5" x14ac:dyDescent="0.3">
      <c r="A18" s="13"/>
      <c r="B18" s="44" t="s">
        <v>31</v>
      </c>
      <c r="C18" s="77">
        <f>+'Capítulo 3'!E17</f>
        <v>1750</v>
      </c>
      <c r="D18" s="32"/>
      <c r="E18" s="43"/>
    </row>
    <row r="19" spans="1:5" x14ac:dyDescent="0.3">
      <c r="A19" s="13"/>
      <c r="B19" s="44" t="s">
        <v>32</v>
      </c>
      <c r="C19" s="77">
        <f>+'Capítulo 3'!E18</f>
        <v>900</v>
      </c>
      <c r="D19" s="32"/>
      <c r="E19" s="43"/>
    </row>
    <row r="20" spans="1:5" x14ac:dyDescent="0.3">
      <c r="A20" s="13"/>
      <c r="B20" s="44" t="s">
        <v>33</v>
      </c>
      <c r="C20" s="77">
        <f>+'Capítulo 3'!E19</f>
        <v>800</v>
      </c>
      <c r="D20" s="32"/>
      <c r="E20" s="43"/>
    </row>
    <row r="21" spans="1:5" x14ac:dyDescent="0.3">
      <c r="A21" s="13"/>
      <c r="B21" s="44" t="s">
        <v>34</v>
      </c>
      <c r="C21" s="77">
        <f>+'Capítulo 3'!E20</f>
        <v>1200</v>
      </c>
      <c r="D21" s="32"/>
      <c r="E21" s="43"/>
    </row>
    <row r="22" spans="1:5" x14ac:dyDescent="0.3">
      <c r="A22" s="12"/>
      <c r="B22" s="44" t="s">
        <v>71</v>
      </c>
      <c r="C22" s="78"/>
      <c r="D22" s="65">
        <f>SUM(C23:C24)</f>
        <v>743.80165289256206</v>
      </c>
      <c r="E22" s="72">
        <f>+D22/$C$54</f>
        <v>1.8660584620938898E-2</v>
      </c>
    </row>
    <row r="23" spans="1:5" x14ac:dyDescent="0.3">
      <c r="A23" s="13"/>
      <c r="B23" s="44" t="s">
        <v>36</v>
      </c>
      <c r="C23" s="77">
        <f>+'Capítulo 4'!E11</f>
        <v>413.22314049586777</v>
      </c>
      <c r="D23" s="32"/>
      <c r="E23" s="43"/>
    </row>
    <row r="24" spans="1:5" x14ac:dyDescent="0.3">
      <c r="A24" s="13"/>
      <c r="B24" s="44" t="s">
        <v>37</v>
      </c>
      <c r="C24" s="77">
        <f>+'Capítulo 4'!E12</f>
        <v>330.57851239669424</v>
      </c>
      <c r="D24" s="32"/>
      <c r="E24" s="43"/>
    </row>
    <row r="25" spans="1:5" x14ac:dyDescent="0.3">
      <c r="A25" s="12"/>
      <c r="B25" s="44" t="s">
        <v>72</v>
      </c>
      <c r="C25" s="78"/>
      <c r="D25" s="65">
        <f>SUM(C26:C27)</f>
        <v>1652.8925619834713</v>
      </c>
      <c r="E25" s="72">
        <f>+D25/$C$54</f>
        <v>4.1467965824308665E-2</v>
      </c>
    </row>
    <row r="26" spans="1:5" x14ac:dyDescent="0.3">
      <c r="A26" s="13"/>
      <c r="B26" s="44" t="s">
        <v>39</v>
      </c>
      <c r="C26" s="77">
        <f>+'Capítulo 5'!E11</f>
        <v>661.15702479338847</v>
      </c>
      <c r="D26" s="32"/>
      <c r="E26" s="43"/>
    </row>
    <row r="27" spans="1:5" x14ac:dyDescent="0.3">
      <c r="A27" s="13"/>
      <c r="B27" s="44" t="s">
        <v>40</v>
      </c>
      <c r="C27" s="77">
        <f>+'Capítulo 5'!E12</f>
        <v>991.73553719008271</v>
      </c>
      <c r="D27" s="32"/>
      <c r="E27" s="43"/>
    </row>
    <row r="28" spans="1:5" x14ac:dyDescent="0.3">
      <c r="A28" s="12"/>
      <c r="B28" s="44" t="s">
        <v>73</v>
      </c>
      <c r="C28" s="78"/>
      <c r="D28" s="65">
        <f>SUM(C29:C35)</f>
        <v>749.15702479338847</v>
      </c>
      <c r="E28" s="72">
        <f>+D28/$C$54</f>
        <v>1.8794940830209658E-2</v>
      </c>
    </row>
    <row r="29" spans="1:5" x14ac:dyDescent="0.3">
      <c r="A29" s="13"/>
      <c r="B29" s="44" t="s">
        <v>42</v>
      </c>
      <c r="C29" s="77">
        <f>+'Capítulo 6'!E18</f>
        <v>82.644628099173559</v>
      </c>
      <c r="D29" s="32"/>
      <c r="E29" s="43"/>
    </row>
    <row r="30" spans="1:5" x14ac:dyDescent="0.3">
      <c r="A30" s="13"/>
      <c r="B30" s="44" t="s">
        <v>43</v>
      </c>
      <c r="C30" s="77">
        <f>+'Capítulo 6'!E19</f>
        <v>78.512396694214885</v>
      </c>
      <c r="D30" s="32"/>
      <c r="E30" s="43"/>
    </row>
    <row r="31" spans="1:5" x14ac:dyDescent="0.3">
      <c r="A31" s="13"/>
      <c r="B31" s="44" t="s">
        <v>44</v>
      </c>
      <c r="C31" s="77">
        <f>+'Capítulo 6'!E20</f>
        <v>39.669421487603309</v>
      </c>
      <c r="D31" s="32"/>
      <c r="E31" s="43"/>
    </row>
    <row r="32" spans="1:5" x14ac:dyDescent="0.3">
      <c r="A32" s="13"/>
      <c r="B32" s="44" t="s">
        <v>45</v>
      </c>
      <c r="C32" s="77">
        <f>+'Capítulo 6'!E21</f>
        <v>81.388429752066116</v>
      </c>
      <c r="D32" s="32"/>
      <c r="E32" s="43"/>
    </row>
    <row r="33" spans="1:5" x14ac:dyDescent="0.3">
      <c r="A33" s="13"/>
      <c r="B33" s="44" t="s">
        <v>46</v>
      </c>
      <c r="C33" s="77">
        <f>+'Capítulo 6'!E22</f>
        <v>20.66115702479339</v>
      </c>
      <c r="D33" s="32"/>
      <c r="E33" s="43"/>
    </row>
    <row r="34" spans="1:5" x14ac:dyDescent="0.3">
      <c r="A34" s="13"/>
      <c r="B34" s="44" t="s">
        <v>47</v>
      </c>
      <c r="C34" s="77">
        <f>+'Capítulo 6'!E23</f>
        <v>247.93388429752068</v>
      </c>
      <c r="D34" s="32"/>
      <c r="E34" s="43"/>
    </row>
    <row r="35" spans="1:5" x14ac:dyDescent="0.3">
      <c r="A35" s="13"/>
      <c r="B35" s="44" t="s">
        <v>48</v>
      </c>
      <c r="C35" s="77">
        <f>+'Capítulo 6'!E24</f>
        <v>198.34710743801654</v>
      </c>
      <c r="D35" s="32"/>
      <c r="E35" s="43"/>
    </row>
    <row r="36" spans="1:5" x14ac:dyDescent="0.3">
      <c r="A36" s="12"/>
      <c r="B36" s="44" t="s">
        <v>74</v>
      </c>
      <c r="C36" s="78"/>
      <c r="D36" s="65">
        <f>SUM(C37:C38)</f>
        <v>1576.4462809917354</v>
      </c>
      <c r="E36" s="72">
        <f>+D36/$C$54</f>
        <v>3.9550072404934376E-2</v>
      </c>
    </row>
    <row r="37" spans="1:5" x14ac:dyDescent="0.3">
      <c r="A37" s="13"/>
      <c r="B37" s="44" t="s">
        <v>50</v>
      </c>
      <c r="C37" s="77">
        <f>+'Capítulo 7'!B12</f>
        <v>619.83471074380168</v>
      </c>
      <c r="D37" s="32"/>
      <c r="E37" s="43"/>
    </row>
    <row r="38" spans="1:5" x14ac:dyDescent="0.3">
      <c r="A38" s="13"/>
      <c r="B38" s="44" t="s">
        <v>51</v>
      </c>
      <c r="C38" s="77">
        <f>+'Capítulo 7'!B13</f>
        <v>956.61157024793386</v>
      </c>
      <c r="D38" s="32"/>
      <c r="E38" s="43"/>
    </row>
    <row r="39" spans="1:5" x14ac:dyDescent="0.3">
      <c r="A39" s="12"/>
      <c r="B39" s="44" t="s">
        <v>75</v>
      </c>
      <c r="C39" s="78"/>
      <c r="D39" s="65">
        <f>SUM(C40)</f>
        <v>537.19008264462809</v>
      </c>
      <c r="E39" s="72">
        <f>+D39/$C$54</f>
        <v>1.3477088892900313E-2</v>
      </c>
    </row>
    <row r="40" spans="1:5" x14ac:dyDescent="0.3">
      <c r="A40" s="13"/>
      <c r="B40" s="44" t="s">
        <v>53</v>
      </c>
      <c r="C40" s="77">
        <f>+'Capítulo 8 y 9'!D14</f>
        <v>537.19008264462809</v>
      </c>
      <c r="D40" s="32"/>
      <c r="E40" s="43"/>
    </row>
    <row r="41" spans="1:5" x14ac:dyDescent="0.3">
      <c r="A41" s="12"/>
      <c r="B41" s="44" t="s">
        <v>76</v>
      </c>
      <c r="C41" s="78"/>
      <c r="D41" s="65">
        <f>SUM(C42:C43)</f>
        <v>4628.0991735537191</v>
      </c>
      <c r="E41" s="72">
        <f>+D41/$C$54</f>
        <v>0.11611030430806424</v>
      </c>
    </row>
    <row r="42" spans="1:5" x14ac:dyDescent="0.3">
      <c r="A42" s="13"/>
      <c r="B42" s="44" t="s">
        <v>55</v>
      </c>
      <c r="C42" s="77">
        <f>+'Capítulo 8 y 9'!D15</f>
        <v>4628.0991735537191</v>
      </c>
      <c r="D42" s="32"/>
      <c r="E42" s="43"/>
    </row>
    <row r="43" spans="1:5" x14ac:dyDescent="0.3">
      <c r="A43" s="13"/>
      <c r="B43" s="44"/>
      <c r="C43" s="78"/>
      <c r="D43" s="32"/>
      <c r="E43" s="43"/>
    </row>
    <row r="44" spans="1:5" x14ac:dyDescent="0.3">
      <c r="A44" s="12"/>
      <c r="B44" s="44" t="s">
        <v>77</v>
      </c>
      <c r="C44" s="78"/>
      <c r="D44" s="65">
        <f>SUM(C45:C46)</f>
        <v>5173.46</v>
      </c>
      <c r="E44" s="72">
        <f>+D44/$C$54</f>
        <v>0.12979238179642386</v>
      </c>
    </row>
    <row r="45" spans="1:5" x14ac:dyDescent="0.3">
      <c r="A45" s="13"/>
      <c r="B45" s="44" t="s">
        <v>78</v>
      </c>
      <c r="C45" s="77">
        <f>+'Capítulo 10'!D15</f>
        <v>4673.46</v>
      </c>
      <c r="D45" s="32"/>
      <c r="E45" s="43"/>
    </row>
    <row r="46" spans="1:5" x14ac:dyDescent="0.3">
      <c r="A46" s="13"/>
      <c r="B46" s="44" t="s">
        <v>58</v>
      </c>
      <c r="C46" s="77">
        <f>+'Capítulo 10'!D18</f>
        <v>500</v>
      </c>
      <c r="D46" s="32"/>
      <c r="E46" s="43"/>
    </row>
    <row r="47" spans="1:5" x14ac:dyDescent="0.3">
      <c r="A47" s="12"/>
      <c r="B47" s="44" t="s">
        <v>79</v>
      </c>
      <c r="C47" s="78"/>
      <c r="D47" s="65">
        <f>SUM(C48:C50)</f>
        <v>607.60330578512401</v>
      </c>
      <c r="E47" s="72">
        <f>+D47/$C$54</f>
        <v>1.5243624237015864E-2</v>
      </c>
    </row>
    <row r="48" spans="1:5" x14ac:dyDescent="0.3">
      <c r="A48" s="13"/>
      <c r="B48" s="44" t="s">
        <v>60</v>
      </c>
      <c r="C48" s="77">
        <f>+'Capítulo 11'!D12</f>
        <v>289.25619834710744</v>
      </c>
      <c r="D48" s="32"/>
      <c r="E48" s="43"/>
    </row>
    <row r="49" spans="1:5" x14ac:dyDescent="0.3">
      <c r="A49" s="13"/>
      <c r="B49" s="44" t="s">
        <v>61</v>
      </c>
      <c r="C49" s="77">
        <f>+'Capítulo 11'!D13</f>
        <v>198.34710743801654</v>
      </c>
      <c r="D49" s="32"/>
      <c r="E49" s="43"/>
    </row>
    <row r="50" spans="1:5" x14ac:dyDescent="0.3">
      <c r="A50" s="13"/>
      <c r="B50" s="44" t="s">
        <v>62</v>
      </c>
      <c r="C50" s="77">
        <f>+'Capítulo 11'!D14</f>
        <v>120</v>
      </c>
      <c r="D50" s="32"/>
      <c r="E50" s="43"/>
    </row>
    <row r="51" spans="1:5" x14ac:dyDescent="0.3">
      <c r="A51" s="12"/>
      <c r="B51" s="44" t="s">
        <v>80</v>
      </c>
      <c r="C51" s="78"/>
      <c r="D51" s="65">
        <f>SUM(C52)</f>
        <v>1196.6942148760331</v>
      </c>
      <c r="E51" s="72">
        <f>+D51/$C$54</f>
        <v>3.0022807256799469E-2</v>
      </c>
    </row>
    <row r="52" spans="1:5" x14ac:dyDescent="0.3">
      <c r="B52" s="44" t="s">
        <v>64</v>
      </c>
      <c r="C52" s="77">
        <f>+'Capítulo 12'!D15</f>
        <v>1196.6942148760331</v>
      </c>
      <c r="D52" s="32"/>
      <c r="E52" s="43"/>
    </row>
    <row r="53" spans="1:5" x14ac:dyDescent="0.3">
      <c r="B53" s="44"/>
      <c r="C53" s="78"/>
      <c r="D53" s="32"/>
      <c r="E53" s="43"/>
    </row>
    <row r="54" spans="1:5" ht="15" thickBot="1" x14ac:dyDescent="0.35">
      <c r="B54" s="45" t="s">
        <v>81</v>
      </c>
      <c r="C54" s="73">
        <f>SUM(C6:C52)</f>
        <v>39859.504297520667</v>
      </c>
      <c r="D54" s="79">
        <f>SUM(D6:D52)</f>
        <v>39859.50429752066</v>
      </c>
      <c r="E54" s="80">
        <f>+D54/$C$54</f>
        <v>0.99999999999999978</v>
      </c>
    </row>
  </sheetData>
  <mergeCells count="1">
    <mergeCell ref="B4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BE475-A4BE-491D-8984-C7EBCA57E1AE}">
  <sheetPr>
    <tabColor theme="9" tint="-0.249977111117893"/>
  </sheetPr>
  <dimension ref="A1:E17"/>
  <sheetViews>
    <sheetView tabSelected="1" zoomScale="130" zoomScaleNormal="130" workbookViewId="0">
      <selection activeCell="C12" sqref="C12"/>
    </sheetView>
  </sheetViews>
  <sheetFormatPr baseColWidth="10" defaultColWidth="11.44140625" defaultRowHeight="14.4" x14ac:dyDescent="0.3"/>
  <cols>
    <col min="1" max="1" width="38.44140625" customWidth="1"/>
    <col min="3" max="3" width="19.77734375" customWidth="1"/>
    <col min="4" max="4" width="20.44140625" customWidth="1"/>
  </cols>
  <sheetData>
    <row r="1" spans="1:5" x14ac:dyDescent="0.3">
      <c r="A1" s="6" t="s">
        <v>17</v>
      </c>
    </row>
    <row r="3" spans="1:5" x14ac:dyDescent="0.3">
      <c r="A3" t="s">
        <v>82</v>
      </c>
    </row>
    <row r="4" spans="1:5" x14ac:dyDescent="0.3">
      <c r="A4" t="s">
        <v>83</v>
      </c>
      <c r="E4" t="s">
        <v>176</v>
      </c>
    </row>
    <row r="5" spans="1:5" x14ac:dyDescent="0.3">
      <c r="A5" t="s">
        <v>84</v>
      </c>
    </row>
    <row r="6" spans="1:5" x14ac:dyDescent="0.3">
      <c r="A6" s="14" t="s">
        <v>85</v>
      </c>
    </row>
    <row r="8" spans="1:5" x14ac:dyDescent="0.3">
      <c r="A8" t="s">
        <v>86</v>
      </c>
    </row>
    <row r="9" spans="1:5" x14ac:dyDescent="0.3">
      <c r="A9" t="s">
        <v>87</v>
      </c>
    </row>
    <row r="11" spans="1:5" ht="15" thickBot="1" x14ac:dyDescent="0.35"/>
    <row r="12" spans="1:5" ht="15" thickBot="1" x14ac:dyDescent="0.35">
      <c r="A12" s="1" t="s">
        <v>88</v>
      </c>
      <c r="B12" s="15">
        <v>40000</v>
      </c>
    </row>
    <row r="13" spans="1:5" ht="15" thickBot="1" x14ac:dyDescent="0.35">
      <c r="A13" s="1" t="s">
        <v>89</v>
      </c>
      <c r="B13" s="69">
        <f>PLANTILLA!C54</f>
        <v>39859.504297520667</v>
      </c>
    </row>
    <row r="14" spans="1:5" ht="35.549999999999997" customHeight="1" x14ac:dyDescent="0.3">
      <c r="B14" s="13"/>
      <c r="C14" s="5" t="s">
        <v>90</v>
      </c>
    </row>
    <row r="15" spans="1:5" x14ac:dyDescent="0.3">
      <c r="A15" t="s">
        <v>20</v>
      </c>
      <c r="B15" s="4">
        <v>2000</v>
      </c>
      <c r="C15" s="46">
        <f>B15/B13</f>
        <v>5.0176238647413475E-2</v>
      </c>
    </row>
    <row r="16" spans="1:5" x14ac:dyDescent="0.3">
      <c r="A16" t="s">
        <v>21</v>
      </c>
      <c r="B16" s="4">
        <v>1000</v>
      </c>
      <c r="C16" s="46">
        <f>+B16/B12</f>
        <v>2.5000000000000001E-2</v>
      </c>
      <c r="D16" s="37" t="s">
        <v>175</v>
      </c>
    </row>
    <row r="17" spans="2:3" x14ac:dyDescent="0.3">
      <c r="B17" s="48">
        <f>SUM(B15:B16)</f>
        <v>3000</v>
      </c>
      <c r="C17" s="47">
        <f>SUM(C15:C16)</f>
        <v>7.5176238647413476E-2</v>
      </c>
    </row>
  </sheetData>
  <hyperlinks>
    <hyperlink ref="A6" r:id="rId1" display="https://www.lasolucionelegante.com/precios-de-guion/" xr:uid="{EB790036-1BC0-4DBC-A4F3-2195139FF788}"/>
    <hyperlink ref="D16" r:id="rId2" display="https://www.kombofilms.com/tarifas/" xr:uid="{332D59B3-8772-427C-A2D9-62CC36F33372}"/>
  </hyperlinks>
  <pageMargins left="0.7" right="0.7" top="0.75" bottom="0.75" header="0.3" footer="0.3"/>
  <pageSetup paperSize="9" orientation="portrait" horizontalDpi="1200" verticalDpi="120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C41F-BC44-481F-887F-1012B9AD67D5}">
  <sheetPr>
    <tabColor theme="9" tint="-0.249977111117893"/>
  </sheetPr>
  <dimension ref="A1:I26"/>
  <sheetViews>
    <sheetView topLeftCell="A13" zoomScale="115" zoomScaleNormal="115" workbookViewId="0">
      <selection activeCell="D15" sqref="D15"/>
    </sheetView>
  </sheetViews>
  <sheetFormatPr baseColWidth="10" defaultColWidth="11.44140625" defaultRowHeight="14.4" x14ac:dyDescent="0.3"/>
  <cols>
    <col min="2" max="2" width="40" customWidth="1"/>
    <col min="5" max="5" width="11.77734375" customWidth="1"/>
  </cols>
  <sheetData>
    <row r="1" spans="1:9" x14ac:dyDescent="0.3">
      <c r="A1" s="6" t="s">
        <v>22</v>
      </c>
    </row>
    <row r="3" spans="1:9" x14ac:dyDescent="0.3">
      <c r="A3" t="s">
        <v>91</v>
      </c>
    </row>
    <row r="4" spans="1:9" x14ac:dyDescent="0.3">
      <c r="A4" t="s">
        <v>92</v>
      </c>
    </row>
    <row r="5" spans="1:9" x14ac:dyDescent="0.3">
      <c r="A5" t="s">
        <v>93</v>
      </c>
    </row>
    <row r="6" spans="1:9" x14ac:dyDescent="0.3">
      <c r="A6" t="s">
        <v>94</v>
      </c>
    </row>
    <row r="7" spans="1:9" x14ac:dyDescent="0.3">
      <c r="A7" t="s">
        <v>95</v>
      </c>
    </row>
    <row r="8" spans="1:9" ht="76.5" customHeight="1" x14ac:dyDescent="0.3">
      <c r="A8" s="84" t="s">
        <v>174</v>
      </c>
      <c r="B8" s="85"/>
      <c r="C8" s="85"/>
      <c r="D8" s="85"/>
      <c r="E8" s="86"/>
    </row>
    <row r="10" spans="1:9" ht="15" thickBot="1" x14ac:dyDescent="0.35"/>
    <row r="11" spans="1:9" ht="15" thickBot="1" x14ac:dyDescent="0.35">
      <c r="A11" s="1" t="s">
        <v>88</v>
      </c>
      <c r="C11" s="15">
        <v>40000</v>
      </c>
    </row>
    <row r="12" spans="1:9" ht="15" thickBot="1" x14ac:dyDescent="0.35">
      <c r="A12" s="1" t="s">
        <v>89</v>
      </c>
      <c r="C12" s="69">
        <f>+PLANTILLA!$C$54</f>
        <v>39859.504297520667</v>
      </c>
    </row>
    <row r="13" spans="1:9" ht="15" thickBot="1" x14ac:dyDescent="0.35"/>
    <row r="14" spans="1:9" ht="72" x14ac:dyDescent="0.3">
      <c r="B14" s="17" t="s">
        <v>96</v>
      </c>
      <c r="C14" s="18" t="s">
        <v>97</v>
      </c>
      <c r="D14" s="18" t="s">
        <v>98</v>
      </c>
      <c r="E14" s="18" t="s">
        <v>99</v>
      </c>
      <c r="F14" s="18" t="s">
        <v>100</v>
      </c>
      <c r="G14" s="18" t="s">
        <v>101</v>
      </c>
      <c r="H14" s="18" t="s">
        <v>102</v>
      </c>
      <c r="I14" s="19" t="s">
        <v>103</v>
      </c>
    </row>
    <row r="15" spans="1:9" x14ac:dyDescent="0.3">
      <c r="B15" s="20" t="s">
        <v>104</v>
      </c>
      <c r="C15" s="21">
        <v>4</v>
      </c>
      <c r="D15" s="22">
        <v>611.77</v>
      </c>
      <c r="E15" s="49">
        <f>+C15*D15</f>
        <v>2447.08</v>
      </c>
      <c r="F15" s="22">
        <v>314</v>
      </c>
      <c r="G15" s="50">
        <f>+F15*C15</f>
        <v>1256</v>
      </c>
      <c r="H15" s="23">
        <v>0.33</v>
      </c>
      <c r="I15" s="51">
        <f>+G15*H15</f>
        <v>414.48</v>
      </c>
    </row>
    <row r="16" spans="1:9" x14ac:dyDescent="0.3">
      <c r="B16" s="20" t="s">
        <v>105</v>
      </c>
      <c r="C16" s="21"/>
      <c r="D16" s="24"/>
      <c r="E16" s="24"/>
      <c r="F16" s="24"/>
      <c r="G16" s="24"/>
      <c r="H16" s="24"/>
      <c r="I16" s="25"/>
    </row>
    <row r="17" spans="2:9" ht="15" thickBot="1" x14ac:dyDescent="0.35">
      <c r="B17" s="20"/>
      <c r="C17" s="21"/>
      <c r="D17" s="24"/>
      <c r="E17" s="24"/>
      <c r="F17" s="24"/>
      <c r="G17" s="24"/>
      <c r="H17" s="24"/>
      <c r="I17" s="25"/>
    </row>
    <row r="18" spans="2:9" ht="28.8" x14ac:dyDescent="0.3">
      <c r="B18" s="20"/>
      <c r="C18" s="18" t="s">
        <v>106</v>
      </c>
      <c r="D18" s="18" t="s">
        <v>107</v>
      </c>
      <c r="E18" s="24"/>
      <c r="F18" s="18" t="s">
        <v>97</v>
      </c>
      <c r="G18" s="18" t="s">
        <v>108</v>
      </c>
      <c r="H18" s="24"/>
      <c r="I18" s="25"/>
    </row>
    <row r="19" spans="2:9" x14ac:dyDescent="0.3">
      <c r="B19" s="20" t="s">
        <v>109</v>
      </c>
      <c r="C19" s="26">
        <v>0.14779999999999999</v>
      </c>
      <c r="D19" s="22"/>
      <c r="E19" s="49">
        <f>+E15*C19</f>
        <v>361.67842399999995</v>
      </c>
      <c r="F19" s="24"/>
      <c r="G19" s="24"/>
      <c r="H19" s="24"/>
      <c r="I19" s="25"/>
    </row>
    <row r="20" spans="2:9" x14ac:dyDescent="0.3">
      <c r="B20" s="20" t="s">
        <v>110</v>
      </c>
      <c r="C20" s="26">
        <v>6.8000000000000005E-2</v>
      </c>
      <c r="D20" s="22"/>
      <c r="E20" s="49">
        <f>+C20*G15</f>
        <v>85.408000000000001</v>
      </c>
      <c r="F20" s="24"/>
      <c r="G20" s="24"/>
      <c r="H20" s="24"/>
      <c r="I20" s="25"/>
    </row>
    <row r="21" spans="2:9" ht="15" thickBot="1" x14ac:dyDescent="0.35">
      <c r="B21" s="27" t="s">
        <v>111</v>
      </c>
      <c r="C21" s="28"/>
      <c r="D21" s="29"/>
      <c r="E21" s="53">
        <f>+E15-E19-E20</f>
        <v>1999.9935760000003</v>
      </c>
      <c r="F21" s="52">
        <f>+C15</f>
        <v>4</v>
      </c>
      <c r="G21" s="53">
        <f>+E21/F21</f>
        <v>499.99839400000008</v>
      </c>
      <c r="H21" s="30"/>
      <c r="I21" s="31"/>
    </row>
    <row r="22" spans="2:9" ht="15" thickBot="1" x14ac:dyDescent="0.35">
      <c r="B22" s="32"/>
      <c r="C22" s="33"/>
      <c r="D22" s="32"/>
      <c r="E22" s="32"/>
      <c r="F22" s="32"/>
      <c r="G22" s="32"/>
      <c r="H22" s="32"/>
      <c r="I22" s="32"/>
    </row>
    <row r="23" spans="2:9" ht="72" x14ac:dyDescent="0.3">
      <c r="B23" s="17" t="s">
        <v>112</v>
      </c>
      <c r="C23" s="34"/>
      <c r="D23" s="35" t="s">
        <v>113</v>
      </c>
      <c r="E23" s="32"/>
      <c r="F23" s="32"/>
      <c r="G23" s="32"/>
      <c r="H23" s="32"/>
      <c r="I23" s="32"/>
    </row>
    <row r="24" spans="2:9" x14ac:dyDescent="0.3">
      <c r="B24" s="20" t="s">
        <v>114</v>
      </c>
      <c r="C24" s="54">
        <f>+E15</f>
        <v>2447.08</v>
      </c>
      <c r="D24" s="55">
        <f>+C24/'Capítulo 1'!B12</f>
        <v>6.1176999999999995E-2</v>
      </c>
      <c r="E24" s="32"/>
      <c r="F24" s="32"/>
      <c r="G24" s="32"/>
      <c r="H24" s="32"/>
      <c r="I24" s="32"/>
    </row>
    <row r="25" spans="2:9" x14ac:dyDescent="0.3">
      <c r="B25" s="20" t="s">
        <v>115</v>
      </c>
      <c r="C25" s="54">
        <f>+I15</f>
        <v>414.48</v>
      </c>
      <c r="D25" s="55">
        <f>+C25/'Capítulo 1'!B12</f>
        <v>1.0362E-2</v>
      </c>
      <c r="E25" s="32"/>
      <c r="F25" s="32"/>
      <c r="G25" s="32"/>
      <c r="H25" s="32"/>
      <c r="I25" s="32"/>
    </row>
    <row r="26" spans="2:9" ht="15" thickBot="1" x14ac:dyDescent="0.35">
      <c r="B26" s="27" t="s">
        <v>116</v>
      </c>
      <c r="C26" s="56">
        <f>+C24+C25</f>
        <v>2861.56</v>
      </c>
      <c r="D26" s="57">
        <f>+D24+D25</f>
        <v>7.1538999999999991E-2</v>
      </c>
      <c r="E26" s="32"/>
      <c r="F26" s="32"/>
      <c r="G26" s="32"/>
      <c r="H26" s="32"/>
      <c r="I26" s="32"/>
    </row>
  </sheetData>
  <mergeCells count="1">
    <mergeCell ref="A8:E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46E6D-79DC-4061-A790-D11DEA7023BF}">
  <sheetPr>
    <tabColor theme="9" tint="-0.249977111117893"/>
  </sheetPr>
  <dimension ref="A1:I21"/>
  <sheetViews>
    <sheetView topLeftCell="A6" zoomScale="115" zoomScaleNormal="115" workbookViewId="0">
      <selection activeCell="C20" sqref="C20"/>
    </sheetView>
  </sheetViews>
  <sheetFormatPr baseColWidth="10" defaultColWidth="11.44140625" defaultRowHeight="14.4" x14ac:dyDescent="0.3"/>
  <cols>
    <col min="1" max="1" width="38.21875" customWidth="1"/>
    <col min="3" max="3" width="14.44140625" customWidth="1"/>
    <col min="4" max="4" width="13.77734375" customWidth="1"/>
    <col min="6" max="6" width="16.77734375" customWidth="1"/>
    <col min="7" max="7" width="14.44140625" customWidth="1"/>
    <col min="8" max="8" width="16.44140625" customWidth="1"/>
  </cols>
  <sheetData>
    <row r="1" spans="1:9" x14ac:dyDescent="0.3">
      <c r="A1" s="6" t="s">
        <v>25</v>
      </c>
    </row>
    <row r="3" spans="1:9" x14ac:dyDescent="0.3">
      <c r="A3" t="s">
        <v>117</v>
      </c>
    </row>
    <row r="4" spans="1:9" x14ac:dyDescent="0.3">
      <c r="A4" t="s">
        <v>118</v>
      </c>
    </row>
    <row r="5" spans="1:9" x14ac:dyDescent="0.3">
      <c r="A5" t="s">
        <v>119</v>
      </c>
    </row>
    <row r="6" spans="1:9" x14ac:dyDescent="0.3">
      <c r="A6" t="s">
        <v>120</v>
      </c>
    </row>
    <row r="7" spans="1:9" x14ac:dyDescent="0.3">
      <c r="A7" t="s">
        <v>121</v>
      </c>
    </row>
    <row r="8" spans="1:9" ht="15" thickBot="1" x14ac:dyDescent="0.35"/>
    <row r="9" spans="1:9" ht="15" thickBot="1" x14ac:dyDescent="0.35">
      <c r="A9" s="1" t="s">
        <v>88</v>
      </c>
      <c r="B9" s="15">
        <v>40000</v>
      </c>
    </row>
    <row r="10" spans="1:9" ht="15" thickBot="1" x14ac:dyDescent="0.35">
      <c r="A10" s="1" t="s">
        <v>89</v>
      </c>
      <c r="B10" s="69">
        <f>+PLANTILLA!$C$54</f>
        <v>39859.504297520667</v>
      </c>
    </row>
    <row r="11" spans="1:9" ht="54" customHeight="1" x14ac:dyDescent="0.3">
      <c r="A11" s="16" t="s">
        <v>122</v>
      </c>
      <c r="B11" s="16" t="s">
        <v>123</v>
      </c>
      <c r="C11" s="16" t="s">
        <v>124</v>
      </c>
      <c r="D11" s="16" t="s">
        <v>125</v>
      </c>
      <c r="E11" s="16" t="s">
        <v>126</v>
      </c>
      <c r="F11" s="16" t="s">
        <v>127</v>
      </c>
      <c r="G11" s="16" t="s">
        <v>128</v>
      </c>
      <c r="H11" s="16" t="s">
        <v>127</v>
      </c>
    </row>
    <row r="12" spans="1:9" x14ac:dyDescent="0.3">
      <c r="A12" s="7" t="s">
        <v>26</v>
      </c>
      <c r="B12" t="s">
        <v>129</v>
      </c>
      <c r="C12" s="4">
        <v>500</v>
      </c>
      <c r="D12" s="64">
        <v>6</v>
      </c>
      <c r="E12" s="65">
        <f>+C12*D12</f>
        <v>3000</v>
      </c>
      <c r="F12" s="46">
        <f>+E12/'Capítulo 1'!$B$12</f>
        <v>7.4999999999999997E-2</v>
      </c>
      <c r="G12" s="66">
        <f>+E12*0.33</f>
        <v>990</v>
      </c>
      <c r="H12" s="46">
        <f>+G12/'Capítulo 1'!$B$12</f>
        <v>2.4750000000000001E-2</v>
      </c>
      <c r="I12" t="s">
        <v>177</v>
      </c>
    </row>
    <row r="13" spans="1:9" x14ac:dyDescent="0.3">
      <c r="A13" s="7" t="s">
        <v>27</v>
      </c>
      <c r="B13" t="s">
        <v>129</v>
      </c>
      <c r="C13" s="4">
        <v>400</v>
      </c>
      <c r="D13" s="64">
        <v>8</v>
      </c>
      <c r="E13" s="65">
        <f t="shared" ref="E13:E20" si="0">+C13*D13</f>
        <v>3200</v>
      </c>
      <c r="F13" s="46">
        <f>+E13/'Capítulo 1'!$B$12</f>
        <v>0.08</v>
      </c>
      <c r="G13" s="66">
        <f>+E13*0.33</f>
        <v>1056</v>
      </c>
      <c r="H13" s="46">
        <f>+G13/'Capítulo 1'!$B$12</f>
        <v>2.64E-2</v>
      </c>
    </row>
    <row r="14" spans="1:9" x14ac:dyDescent="0.3">
      <c r="A14" s="7" t="s">
        <v>28</v>
      </c>
      <c r="B14" t="s">
        <v>129</v>
      </c>
      <c r="C14" s="4">
        <v>400</v>
      </c>
      <c r="D14" s="64">
        <v>4</v>
      </c>
      <c r="E14" s="65">
        <f t="shared" si="0"/>
        <v>1600</v>
      </c>
      <c r="F14" s="46">
        <f>+E14/'Capítulo 1'!$B$12</f>
        <v>0.04</v>
      </c>
      <c r="G14" s="66">
        <f>+E14*0.33</f>
        <v>528</v>
      </c>
      <c r="H14" s="46">
        <f>+G14/'Capítulo 1'!$B$12</f>
        <v>1.32E-2</v>
      </c>
    </row>
    <row r="15" spans="1:9" x14ac:dyDescent="0.3">
      <c r="A15" s="7" t="s">
        <v>29</v>
      </c>
      <c r="B15" t="s">
        <v>129</v>
      </c>
      <c r="C15" s="4">
        <v>200</v>
      </c>
      <c r="D15" s="64">
        <v>10</v>
      </c>
      <c r="E15" s="65">
        <f t="shared" si="0"/>
        <v>2000</v>
      </c>
      <c r="F15" s="46">
        <f>+E15/'Capítulo 1'!$B$12</f>
        <v>0.05</v>
      </c>
      <c r="G15" s="66">
        <f>+E15*0.33</f>
        <v>660</v>
      </c>
      <c r="H15" s="46">
        <f>+G15/'Capítulo 1'!$B$12</f>
        <v>1.6500000000000001E-2</v>
      </c>
    </row>
    <row r="16" spans="1:9" x14ac:dyDescent="0.3">
      <c r="A16" s="7" t="s">
        <v>30</v>
      </c>
      <c r="B16" t="s">
        <v>129</v>
      </c>
      <c r="C16" s="4">
        <v>130</v>
      </c>
      <c r="D16" s="64">
        <v>5</v>
      </c>
      <c r="E16" s="65">
        <f t="shared" si="0"/>
        <v>650</v>
      </c>
      <c r="F16" s="46">
        <f>+E16/'Capítulo 1'!$B$12</f>
        <v>1.6250000000000001E-2</v>
      </c>
      <c r="G16" s="66">
        <f>+E16*0.33</f>
        <v>214.5</v>
      </c>
      <c r="H16" s="46">
        <f>+G16/'Capítulo 1'!$B$12</f>
        <v>5.3625000000000001E-3</v>
      </c>
    </row>
    <row r="17" spans="1:8" x14ac:dyDescent="0.3">
      <c r="A17" s="7" t="s">
        <v>31</v>
      </c>
      <c r="B17" t="s">
        <v>130</v>
      </c>
      <c r="C17" s="4">
        <v>350</v>
      </c>
      <c r="D17" s="64">
        <v>5</v>
      </c>
      <c r="E17" s="65">
        <f t="shared" si="0"/>
        <v>1750</v>
      </c>
      <c r="F17" s="46">
        <f>+E17/'Capítulo 1'!$B$12</f>
        <v>4.3749999999999997E-2</v>
      </c>
      <c r="G17" s="66">
        <v>0</v>
      </c>
      <c r="H17" s="46">
        <f>+G17/'Capítulo 1'!$B$12</f>
        <v>0</v>
      </c>
    </row>
    <row r="18" spans="1:8" x14ac:dyDescent="0.3">
      <c r="A18" s="7" t="s">
        <v>32</v>
      </c>
      <c r="B18" t="s">
        <v>130</v>
      </c>
      <c r="C18" s="4">
        <v>300</v>
      </c>
      <c r="D18" s="64">
        <v>3</v>
      </c>
      <c r="E18" s="65">
        <f t="shared" si="0"/>
        <v>900</v>
      </c>
      <c r="F18" s="46">
        <f>+E18/'Capítulo 1'!$B$12</f>
        <v>2.2499999999999999E-2</v>
      </c>
      <c r="G18" s="66">
        <v>0</v>
      </c>
      <c r="H18" s="46">
        <f>+G18/'Capítulo 1'!$B$12</f>
        <v>0</v>
      </c>
    </row>
    <row r="19" spans="1:8" x14ac:dyDescent="0.3">
      <c r="A19" s="7" t="s">
        <v>33</v>
      </c>
      <c r="B19" t="s">
        <v>130</v>
      </c>
      <c r="C19" s="4">
        <v>200</v>
      </c>
      <c r="D19" s="64">
        <v>4</v>
      </c>
      <c r="E19" s="65">
        <f t="shared" si="0"/>
        <v>800</v>
      </c>
      <c r="F19" s="46">
        <f>+E19/'Capítulo 1'!$B$12</f>
        <v>0.02</v>
      </c>
      <c r="G19" s="66">
        <v>0</v>
      </c>
      <c r="H19" s="46">
        <f>+G19/'Capítulo 1'!$B$12</f>
        <v>0</v>
      </c>
    </row>
    <row r="20" spans="1:8" x14ac:dyDescent="0.3">
      <c r="A20" s="7" t="s">
        <v>34</v>
      </c>
      <c r="B20" t="s">
        <v>129</v>
      </c>
      <c r="C20" s="4">
        <v>300</v>
      </c>
      <c r="D20" s="64">
        <v>4</v>
      </c>
      <c r="E20" s="65">
        <f t="shared" si="0"/>
        <v>1200</v>
      </c>
      <c r="F20" s="46">
        <f>+E20/'Capítulo 1'!$B$12</f>
        <v>0.03</v>
      </c>
      <c r="G20" s="66">
        <f>+E20*0.33</f>
        <v>396</v>
      </c>
      <c r="H20" s="46">
        <f>+G20/'Capítulo 1'!$B$12</f>
        <v>9.9000000000000008E-3</v>
      </c>
    </row>
    <row r="21" spans="1:8" x14ac:dyDescent="0.3">
      <c r="D21" s="67"/>
      <c r="E21" s="48">
        <f>SUM(E12:E20)</f>
        <v>15100</v>
      </c>
      <c r="F21" s="47">
        <f>+E21/'Capítulo 1'!$B$12</f>
        <v>0.3775</v>
      </c>
      <c r="G21" s="68">
        <f>SUM(G12:G20)</f>
        <v>3844.5</v>
      </c>
      <c r="H21" s="47">
        <f>+G21/'Capítulo 1'!$B$12</f>
        <v>9.6112500000000003E-2</v>
      </c>
    </row>
  </sheetData>
  <pageMargins left="0.7" right="0.7" top="0.75" bottom="0.75" header="0.3" footer="0.3"/>
  <ignoredErrors>
    <ignoredError sqref="G13:G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AC1EA-05AB-4DC8-9141-BA2CCACB5697}">
  <sheetPr>
    <tabColor theme="9" tint="-0.249977111117893"/>
  </sheetPr>
  <dimension ref="A1:H14"/>
  <sheetViews>
    <sheetView workbookViewId="0">
      <selection activeCell="A22" sqref="A22"/>
    </sheetView>
  </sheetViews>
  <sheetFormatPr baseColWidth="10" defaultColWidth="11.44140625" defaultRowHeight="14.4" x14ac:dyDescent="0.3"/>
  <cols>
    <col min="1" max="1" width="41.44140625" customWidth="1"/>
    <col min="3" max="3" width="14.77734375" customWidth="1"/>
  </cols>
  <sheetData>
    <row r="1" spans="1:8" x14ac:dyDescent="0.3">
      <c r="A1" s="6" t="s">
        <v>35</v>
      </c>
    </row>
    <row r="3" spans="1:8" x14ac:dyDescent="0.3">
      <c r="A3" t="s">
        <v>131</v>
      </c>
    </row>
    <row r="4" spans="1:8" x14ac:dyDescent="0.3">
      <c r="A4" t="s">
        <v>132</v>
      </c>
    </row>
    <row r="6" spans="1:8" ht="15" thickBot="1" x14ac:dyDescent="0.35"/>
    <row r="7" spans="1:8" ht="15" thickBot="1" x14ac:dyDescent="0.35">
      <c r="A7" s="1" t="s">
        <v>88</v>
      </c>
      <c r="B7" s="15">
        <v>40000</v>
      </c>
    </row>
    <row r="8" spans="1:8" ht="15" thickBot="1" x14ac:dyDescent="0.35">
      <c r="A8" s="1" t="s">
        <v>89</v>
      </c>
      <c r="B8" s="69">
        <f>+PLANTILLA!$C$54</f>
        <v>39859.504297520667</v>
      </c>
    </row>
    <row r="10" spans="1:8" ht="72" x14ac:dyDescent="0.3">
      <c r="B10" s="16" t="s">
        <v>123</v>
      </c>
      <c r="C10" s="16" t="s">
        <v>133</v>
      </c>
      <c r="D10" s="16" t="s">
        <v>125</v>
      </c>
      <c r="E10" s="16" t="s">
        <v>126</v>
      </c>
      <c r="F10" s="16" t="s">
        <v>127</v>
      </c>
      <c r="H10" s="16"/>
    </row>
    <row r="11" spans="1:8" x14ac:dyDescent="0.3">
      <c r="A11" s="7" t="s">
        <v>36</v>
      </c>
      <c r="B11" t="s">
        <v>130</v>
      </c>
      <c r="C11" s="2">
        <f>125/1.21</f>
        <v>103.30578512396694</v>
      </c>
      <c r="D11" s="13">
        <v>4</v>
      </c>
      <c r="E11" s="66">
        <f>+C11*D11</f>
        <v>413.22314049586777</v>
      </c>
      <c r="F11" s="46">
        <f>+E11/'Capítulo 1'!$B$12</f>
        <v>1.0330578512396695E-2</v>
      </c>
      <c r="G11" s="37" t="s">
        <v>178</v>
      </c>
    </row>
    <row r="12" spans="1:8" x14ac:dyDescent="0.3">
      <c r="A12" s="7" t="s">
        <v>37</v>
      </c>
      <c r="B12" t="s">
        <v>130</v>
      </c>
      <c r="C12" s="2">
        <f>100/1.21</f>
        <v>82.644628099173559</v>
      </c>
      <c r="D12" s="13">
        <v>4</v>
      </c>
      <c r="E12" s="66">
        <f>+C12*D12</f>
        <v>330.57851239669424</v>
      </c>
      <c r="F12" s="46">
        <f>+E12/'Capítulo 1'!$B$12</f>
        <v>8.2644628099173556E-3</v>
      </c>
      <c r="G12" s="37" t="s">
        <v>179</v>
      </c>
    </row>
    <row r="13" spans="1:8" x14ac:dyDescent="0.3">
      <c r="C13" s="2"/>
      <c r="E13" s="68">
        <f>+E12+E11</f>
        <v>743.80165289256206</v>
      </c>
      <c r="F13" s="47">
        <f>+E13/'Capítulo 1'!$B$12</f>
        <v>1.859504132231405E-2</v>
      </c>
    </row>
    <row r="14" spans="1:8" x14ac:dyDescent="0.3">
      <c r="A14" s="87" t="s">
        <v>191</v>
      </c>
    </row>
  </sheetData>
  <hyperlinks>
    <hyperlink ref="G11" r:id="rId1" display="https://mueblesdecine.com/categoria-producto/estancias/estancia-dormitorio/" xr:uid="{1A1814F0-546D-4975-9372-EC159010DE73}"/>
    <hyperlink ref="G12" r:id="rId2" display="https://altvproducciones.com/alquiler-vestuario/" xr:uid="{9249CB05-00E6-4584-83FC-801FE7DCCFB1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CD4D1-22A3-404D-892C-68854D272AD9}">
  <sheetPr>
    <tabColor theme="9" tint="-0.249977111117893"/>
  </sheetPr>
  <dimension ref="A1:H13"/>
  <sheetViews>
    <sheetView workbookViewId="0">
      <selection activeCell="C13" sqref="C13"/>
    </sheetView>
  </sheetViews>
  <sheetFormatPr baseColWidth="10" defaultColWidth="11.44140625" defaultRowHeight="14.4" x14ac:dyDescent="0.3"/>
  <cols>
    <col min="1" max="1" width="39.77734375" customWidth="1"/>
    <col min="3" max="3" width="13" customWidth="1"/>
    <col min="4" max="4" width="14.21875" customWidth="1"/>
    <col min="6" max="6" width="16.44140625" customWidth="1"/>
  </cols>
  <sheetData>
    <row r="1" spans="1:8" x14ac:dyDescent="0.3">
      <c r="A1" s="6" t="s">
        <v>38</v>
      </c>
    </row>
    <row r="3" spans="1:8" x14ac:dyDescent="0.3">
      <c r="A3" t="s">
        <v>131</v>
      </c>
    </row>
    <row r="4" spans="1:8" x14ac:dyDescent="0.3">
      <c r="A4" t="s">
        <v>132</v>
      </c>
      <c r="D4" t="s">
        <v>190</v>
      </c>
    </row>
    <row r="6" spans="1:8" ht="15" thickBot="1" x14ac:dyDescent="0.35"/>
    <row r="7" spans="1:8" ht="15" thickBot="1" x14ac:dyDescent="0.35">
      <c r="A7" s="1" t="s">
        <v>88</v>
      </c>
      <c r="B7" s="15">
        <v>40000</v>
      </c>
    </row>
    <row r="8" spans="1:8" ht="15" thickBot="1" x14ac:dyDescent="0.35">
      <c r="A8" s="1" t="s">
        <v>89</v>
      </c>
      <c r="B8" s="69">
        <f>+PLANTILLA!$C$54</f>
        <v>39859.504297520667</v>
      </c>
    </row>
    <row r="10" spans="1:8" ht="43.2" x14ac:dyDescent="0.3">
      <c r="B10" s="16" t="s">
        <v>123</v>
      </c>
      <c r="C10" s="16" t="s">
        <v>133</v>
      </c>
      <c r="D10" s="16" t="s">
        <v>134</v>
      </c>
      <c r="E10" s="16" t="s">
        <v>126</v>
      </c>
      <c r="F10" s="16" t="s">
        <v>127</v>
      </c>
      <c r="H10" s="16"/>
    </row>
    <row r="11" spans="1:8" x14ac:dyDescent="0.3">
      <c r="A11" s="7" t="s">
        <v>39</v>
      </c>
      <c r="B11" t="s">
        <v>130</v>
      </c>
      <c r="C11" s="2">
        <f>200/1.21</f>
        <v>165.28925619834712</v>
      </c>
      <c r="D11" s="13">
        <v>4</v>
      </c>
      <c r="E11" s="66">
        <f>+C11*D11</f>
        <v>661.15702479338847</v>
      </c>
      <c r="F11" s="46">
        <f>+E11/'Capítulo 1'!$B$12</f>
        <v>1.6528925619834711E-2</v>
      </c>
      <c r="G11" s="37" t="s">
        <v>181</v>
      </c>
    </row>
    <row r="12" spans="1:8" x14ac:dyDescent="0.3">
      <c r="A12" s="7" t="s">
        <v>40</v>
      </c>
      <c r="B12" t="s">
        <v>130</v>
      </c>
      <c r="C12" s="2">
        <f>D12*12/1.21</f>
        <v>99.173553719008268</v>
      </c>
      <c r="D12" s="13">
        <v>10</v>
      </c>
      <c r="E12" s="66">
        <f>+C12*D12</f>
        <v>991.73553719008271</v>
      </c>
      <c r="F12" s="46">
        <f>+E12/'Capítulo 1'!$B$12</f>
        <v>2.4793388429752067E-2</v>
      </c>
      <c r="G12" s="37" t="s">
        <v>180</v>
      </c>
    </row>
    <row r="13" spans="1:8" x14ac:dyDescent="0.3">
      <c r="C13" s="2"/>
      <c r="E13" s="68">
        <f>+E12+E11</f>
        <v>1652.8925619834713</v>
      </c>
      <c r="F13" s="47">
        <f>+E13/'Capítulo 1'!$B$12</f>
        <v>4.1322314049586785E-2</v>
      </c>
    </row>
  </sheetData>
  <hyperlinks>
    <hyperlink ref="G12" r:id="rId1" display="https://subtitulado-especial.intrawords.com/" xr:uid="{1F981094-A2AB-4F17-877A-1FABD9D3D4B7}"/>
    <hyperlink ref="G11" r:id="rId2" display="https://www.headroom.es/tarifas/" xr:uid="{03C86D5A-1839-4A02-92C5-1B1B3D9F7527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F7DC0-DB80-4BE8-A7B2-ACD6DBDB3E6B}">
  <sheetPr>
    <tabColor theme="9" tint="-0.249977111117893"/>
  </sheetPr>
  <dimension ref="A1:H26"/>
  <sheetViews>
    <sheetView topLeftCell="A3" workbookViewId="0">
      <selection activeCell="C25" sqref="C25"/>
    </sheetView>
  </sheetViews>
  <sheetFormatPr baseColWidth="10" defaultColWidth="11.44140625" defaultRowHeight="14.4" x14ac:dyDescent="0.3"/>
  <cols>
    <col min="1" max="1" width="39.21875" customWidth="1"/>
    <col min="3" max="3" width="14.21875" customWidth="1"/>
    <col min="4" max="4" width="13.21875" customWidth="1"/>
    <col min="6" max="6" width="19.77734375" customWidth="1"/>
  </cols>
  <sheetData>
    <row r="1" spans="1:2" x14ac:dyDescent="0.3">
      <c r="A1" s="6" t="s">
        <v>41</v>
      </c>
    </row>
    <row r="3" spans="1:2" x14ac:dyDescent="0.3">
      <c r="A3" t="s">
        <v>135</v>
      </c>
    </row>
    <row r="4" spans="1:2" x14ac:dyDescent="0.3">
      <c r="A4" t="s">
        <v>136</v>
      </c>
    </row>
    <row r="5" spans="1:2" x14ac:dyDescent="0.3">
      <c r="A5" t="s">
        <v>137</v>
      </c>
    </row>
    <row r="6" spans="1:2" x14ac:dyDescent="0.3">
      <c r="A6" t="s">
        <v>138</v>
      </c>
    </row>
    <row r="7" spans="1:2" x14ac:dyDescent="0.3">
      <c r="A7" t="s">
        <v>139</v>
      </c>
    </row>
    <row r="8" spans="1:2" x14ac:dyDescent="0.3">
      <c r="A8" t="s">
        <v>140</v>
      </c>
    </row>
    <row r="9" spans="1:2" x14ac:dyDescent="0.3">
      <c r="A9" t="s">
        <v>141</v>
      </c>
    </row>
    <row r="10" spans="1:2" x14ac:dyDescent="0.3">
      <c r="A10" t="s">
        <v>142</v>
      </c>
    </row>
    <row r="11" spans="1:2" x14ac:dyDescent="0.3">
      <c r="A11" s="71" t="s">
        <v>143</v>
      </c>
    </row>
    <row r="12" spans="1:2" x14ac:dyDescent="0.3">
      <c r="A12" s="71" t="s">
        <v>144</v>
      </c>
    </row>
    <row r="13" spans="1:2" ht="15" thickBot="1" x14ac:dyDescent="0.35"/>
    <row r="14" spans="1:2" ht="15" thickBot="1" x14ac:dyDescent="0.35">
      <c r="A14" s="1" t="s">
        <v>88</v>
      </c>
      <c r="B14" s="15">
        <v>40000</v>
      </c>
    </row>
    <row r="15" spans="1:2" ht="15" thickBot="1" x14ac:dyDescent="0.35">
      <c r="A15" s="1" t="s">
        <v>89</v>
      </c>
      <c r="B15" s="69">
        <f>+PLANTILLA!$C$54</f>
        <v>39859.504297520667</v>
      </c>
    </row>
    <row r="17" spans="1:8" ht="62.1" customHeight="1" x14ac:dyDescent="0.3">
      <c r="B17" s="16" t="s">
        <v>123</v>
      </c>
      <c r="C17" s="16" t="s">
        <v>145</v>
      </c>
      <c r="D17" s="16" t="s">
        <v>134</v>
      </c>
      <c r="E17" s="16" t="s">
        <v>126</v>
      </c>
      <c r="F17" s="16" t="s">
        <v>127</v>
      </c>
      <c r="H17" s="16"/>
    </row>
    <row r="18" spans="1:8" x14ac:dyDescent="0.3">
      <c r="A18" s="7" t="s">
        <v>42</v>
      </c>
      <c r="B18" t="s">
        <v>130</v>
      </c>
      <c r="C18" s="2">
        <f>25/1.21</f>
        <v>20.66115702479339</v>
      </c>
      <c r="D18" s="13">
        <v>4</v>
      </c>
      <c r="E18" s="66">
        <f>+C18*D18</f>
        <v>82.644628099173559</v>
      </c>
      <c r="F18" s="46">
        <f>+E18/'Capítulo 1'!$B$12</f>
        <v>2.0661157024793389E-3</v>
      </c>
      <c r="G18" s="37" t="s">
        <v>183</v>
      </c>
    </row>
    <row r="19" spans="1:8" x14ac:dyDescent="0.3">
      <c r="A19" s="7" t="s">
        <v>43</v>
      </c>
      <c r="B19" t="s">
        <v>130</v>
      </c>
      <c r="C19" s="2">
        <f>95/4/1.21</f>
        <v>19.628099173553721</v>
      </c>
      <c r="D19" s="13">
        <f>D18</f>
        <v>4</v>
      </c>
      <c r="E19" s="66">
        <f t="shared" ref="E19:E24" si="0">+C19*D19</f>
        <v>78.512396694214885</v>
      </c>
      <c r="F19" s="46">
        <f>+E19/'Capítulo 1'!$B$12</f>
        <v>1.962809917355372E-3</v>
      </c>
      <c r="G19" s="37" t="s">
        <v>182</v>
      </c>
    </row>
    <row r="20" spans="1:8" x14ac:dyDescent="0.3">
      <c r="A20" s="7" t="s">
        <v>44</v>
      </c>
      <c r="B20" t="s">
        <v>130</v>
      </c>
      <c r="C20">
        <f>12/1.21</f>
        <v>9.9173553719008272</v>
      </c>
      <c r="D20" s="13">
        <f t="shared" ref="D20:D24" si="1">D19</f>
        <v>4</v>
      </c>
      <c r="E20" s="66">
        <f>C20*D20</f>
        <v>39.669421487603309</v>
      </c>
      <c r="F20" s="46">
        <f>+E20/'Capítulo 1'!$B$12</f>
        <v>9.9173553719008266E-4</v>
      </c>
      <c r="G20" s="37" t="s">
        <v>184</v>
      </c>
    </row>
    <row r="21" spans="1:8" x14ac:dyDescent="0.3">
      <c r="A21" s="7" t="s">
        <v>45</v>
      </c>
      <c r="B21" t="s">
        <v>130</v>
      </c>
      <c r="C21" s="2">
        <f>24.62/1.21</f>
        <v>20.347107438016529</v>
      </c>
      <c r="D21" s="13">
        <f t="shared" si="1"/>
        <v>4</v>
      </c>
      <c r="E21" s="66">
        <f>C21*D21</f>
        <v>81.388429752066116</v>
      </c>
      <c r="F21" s="46">
        <f>+E21/'Capítulo 1'!$B$12</f>
        <v>2.034710743801653E-3</v>
      </c>
      <c r="G21" s="37" t="s">
        <v>185</v>
      </c>
    </row>
    <row r="22" spans="1:8" x14ac:dyDescent="0.3">
      <c r="A22" s="7" t="s">
        <v>46</v>
      </c>
      <c r="B22" t="s">
        <v>130</v>
      </c>
      <c r="C22" s="2">
        <f>25/4/1.21</f>
        <v>5.1652892561983474</v>
      </c>
      <c r="D22" s="13">
        <f t="shared" si="1"/>
        <v>4</v>
      </c>
      <c r="E22" s="66">
        <f t="shared" si="0"/>
        <v>20.66115702479339</v>
      </c>
      <c r="F22" s="46">
        <f>+E22/'Capítulo 1'!$B$12</f>
        <v>5.1652892561983473E-4</v>
      </c>
      <c r="G22" s="37" t="s">
        <v>186</v>
      </c>
    </row>
    <row r="23" spans="1:8" x14ac:dyDescent="0.3">
      <c r="A23" s="7" t="s">
        <v>47</v>
      </c>
      <c r="B23" t="s">
        <v>130</v>
      </c>
      <c r="C23" s="2">
        <f>75/1.21</f>
        <v>61.983471074380169</v>
      </c>
      <c r="D23" s="13">
        <f t="shared" si="1"/>
        <v>4</v>
      </c>
      <c r="E23" s="66">
        <f t="shared" si="0"/>
        <v>247.93388429752068</v>
      </c>
      <c r="F23" s="46">
        <f>+E23/'Capítulo 1'!$B$12</f>
        <v>6.1983471074380167E-3</v>
      </c>
      <c r="G23" s="37" t="s">
        <v>187</v>
      </c>
    </row>
    <row r="24" spans="1:8" x14ac:dyDescent="0.3">
      <c r="A24" s="7" t="s">
        <v>48</v>
      </c>
      <c r="B24" t="s">
        <v>130</v>
      </c>
      <c r="C24" s="2">
        <f>60/1.21</f>
        <v>49.586776859504134</v>
      </c>
      <c r="D24" s="13">
        <f t="shared" si="1"/>
        <v>4</v>
      </c>
      <c r="E24" s="66">
        <f t="shared" si="0"/>
        <v>198.34710743801654</v>
      </c>
      <c r="F24" s="46">
        <f>+E24/'Capítulo 1'!$B$12</f>
        <v>4.9586776859504135E-3</v>
      </c>
    </row>
    <row r="25" spans="1:8" x14ac:dyDescent="0.3">
      <c r="E25" s="68">
        <f>SUM(E18:E24)</f>
        <v>749.15702479338847</v>
      </c>
      <c r="F25" s="47">
        <f>SUM(F18:F24)</f>
        <v>1.8728925619834712E-2</v>
      </c>
    </row>
    <row r="26" spans="1:8" x14ac:dyDescent="0.3">
      <c r="E26" s="1"/>
      <c r="F26" s="38"/>
    </row>
  </sheetData>
  <hyperlinks>
    <hyperlink ref="G19" r:id="rId1" display="https://www.avisualpro.es/equipos-alquiler/iluminacion/" xr:uid="{B67E6F1B-59BB-4EB9-8F2C-886F99EE3587}"/>
    <hyperlink ref="G18" r:id="rId2" display="https://www.camaleonrental.com/es/alquiler-camaras-sony/sony-fx6" xr:uid="{E2D9F468-AAEE-4627-864A-83359DB8769D}"/>
    <hyperlink ref="G20" r:id="rId3" display="https://homsrentals.com/alquiler-online/generador-electrico-4kvas/" xr:uid="{CB8B4E22-955B-4BC6-A76F-4506E3AADA70}"/>
    <hyperlink ref="G21" r:id="rId4" display="https://www.avisualpro.es/?s=dolly&amp;post_type=product" xr:uid="{C130AB73-B6AF-45EE-AF5F-31BD4787D28D}"/>
    <hyperlink ref="G22" r:id="rId5" display="https://www.avisualpro.es/tienda/microfono-de-condensador-direccional-r-de-videomic-pro/" xr:uid="{403DB3F5-3B1B-4414-B71C-14E9EFC835D2}"/>
    <hyperlink ref="G23" r:id="rId6" display="https://www.europcar.es/es-es/reservation/vehicles?vehicleType=TR&amp;pickupLocation=VLCP01&amp;dropoffLocation=VLCP01&amp;pickupYear=2026&amp;pickupMonth=01&amp;pickupDay=14&amp;dropoffYear=2026&amp;dropoffMonth=01&amp;dropoffDay=17&amp;pickupHour=13&amp;pickupMinute=15&amp;dropoffHour=10&amp;dropoffMinute=15&amp;driverAge=26&amp;countryOfResidence=ES" xr:uid="{0D8D3C22-45B9-4D8D-9D7E-5D1CA9ACEB7E}"/>
  </hyperlinks>
  <pageMargins left="0.7" right="0.7" top="0.75" bottom="0.75" header="0.3" footer="0.3"/>
  <pageSetup paperSize="9" orientation="portrait" horizontalDpi="1200" verticalDpi="1200" r:id="rId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45392-86F8-40DC-8C54-DDFE94C2C495}">
  <sheetPr>
    <tabColor theme="9" tint="-0.249977111117893"/>
  </sheetPr>
  <dimension ref="A1:D14"/>
  <sheetViews>
    <sheetView workbookViewId="0">
      <selection activeCell="B14" sqref="B14"/>
    </sheetView>
  </sheetViews>
  <sheetFormatPr baseColWidth="10" defaultColWidth="11.44140625" defaultRowHeight="14.4" x14ac:dyDescent="0.3"/>
  <cols>
    <col min="1" max="1" width="45.21875" customWidth="1"/>
    <col min="3" max="3" width="17.21875" customWidth="1"/>
  </cols>
  <sheetData>
    <row r="1" spans="1:4" x14ac:dyDescent="0.3">
      <c r="A1" s="6" t="s">
        <v>49</v>
      </c>
    </row>
    <row r="3" spans="1:4" x14ac:dyDescent="0.3">
      <c r="A3" t="s">
        <v>146</v>
      </c>
    </row>
    <row r="4" spans="1:4" x14ac:dyDescent="0.3">
      <c r="A4" t="s">
        <v>147</v>
      </c>
    </row>
    <row r="5" spans="1:4" x14ac:dyDescent="0.3">
      <c r="A5" t="s">
        <v>148</v>
      </c>
    </row>
    <row r="7" spans="1:4" ht="15" thickBot="1" x14ac:dyDescent="0.35"/>
    <row r="8" spans="1:4" ht="15" thickBot="1" x14ac:dyDescent="0.35">
      <c r="A8" s="1" t="s">
        <v>88</v>
      </c>
      <c r="B8" s="15">
        <v>40000</v>
      </c>
    </row>
    <row r="9" spans="1:4" ht="15" thickBot="1" x14ac:dyDescent="0.35">
      <c r="A9" s="1" t="s">
        <v>89</v>
      </c>
      <c r="B9" s="69">
        <f>+PLANTILLA!$C$54</f>
        <v>39859.504297520667</v>
      </c>
    </row>
    <row r="11" spans="1:4" ht="48" customHeight="1" x14ac:dyDescent="0.3">
      <c r="B11" s="16" t="s">
        <v>126</v>
      </c>
      <c r="C11" s="16" t="s">
        <v>127</v>
      </c>
    </row>
    <row r="12" spans="1:4" x14ac:dyDescent="0.3">
      <c r="A12" s="7" t="s">
        <v>50</v>
      </c>
      <c r="B12" s="2">
        <f>750/1.21</f>
        <v>619.83471074380168</v>
      </c>
      <c r="C12" s="46">
        <f>+B12/'Capítulo 1'!$B$12</f>
        <v>1.5495867768595042E-2</v>
      </c>
      <c r="D12" t="s">
        <v>188</v>
      </c>
    </row>
    <row r="13" spans="1:4" x14ac:dyDescent="0.3">
      <c r="A13" s="7" t="s">
        <v>51</v>
      </c>
      <c r="B13" s="2">
        <f>750+250/1.21</f>
        <v>956.61157024793386</v>
      </c>
      <c r="C13" s="46">
        <f>+B13/'Capítulo 1'!$B$12</f>
        <v>2.3915289256198347E-2</v>
      </c>
    </row>
    <row r="14" spans="1:4" x14ac:dyDescent="0.3">
      <c r="B14" s="68">
        <f>+B12+B13</f>
        <v>1576.4462809917354</v>
      </c>
      <c r="C14" s="47">
        <f>SUM(C7:C13)</f>
        <v>3.9411157024793392E-2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1E0F8-073C-4202-9E8A-F7982E771FB0}">
  <sheetPr>
    <tabColor theme="9" tint="-0.249977111117893"/>
  </sheetPr>
  <dimension ref="A1:F16"/>
  <sheetViews>
    <sheetView workbookViewId="0">
      <selection activeCell="B15" sqref="B15"/>
    </sheetView>
  </sheetViews>
  <sheetFormatPr baseColWidth="10" defaultColWidth="11.44140625" defaultRowHeight="14.4" x14ac:dyDescent="0.3"/>
  <cols>
    <col min="1" max="1" width="42.44140625" customWidth="1"/>
    <col min="3" max="3" width="16.44140625" customWidth="1"/>
    <col min="4" max="4" width="14.44140625" customWidth="1"/>
    <col min="5" max="5" width="16.77734375" customWidth="1"/>
    <col min="6" max="6" width="17.77734375" customWidth="1"/>
  </cols>
  <sheetData>
    <row r="1" spans="1:6" x14ac:dyDescent="0.3">
      <c r="A1" s="6" t="s">
        <v>52</v>
      </c>
    </row>
    <row r="2" spans="1:6" x14ac:dyDescent="0.3">
      <c r="A2" s="6" t="s">
        <v>54</v>
      </c>
    </row>
    <row r="4" spans="1:6" x14ac:dyDescent="0.3">
      <c r="A4" t="s">
        <v>149</v>
      </c>
    </row>
    <row r="5" spans="1:6" x14ac:dyDescent="0.3">
      <c r="A5" t="s">
        <v>150</v>
      </c>
    </row>
    <row r="6" spans="1:6" x14ac:dyDescent="0.3">
      <c r="A6" s="37" t="s">
        <v>151</v>
      </c>
    </row>
    <row r="7" spans="1:6" x14ac:dyDescent="0.3">
      <c r="A7" t="s">
        <v>152</v>
      </c>
    </row>
    <row r="8" spans="1:6" x14ac:dyDescent="0.3">
      <c r="A8" t="s">
        <v>153</v>
      </c>
    </row>
    <row r="9" spans="1:6" ht="15" thickBot="1" x14ac:dyDescent="0.35"/>
    <row r="10" spans="1:6" ht="15" thickBot="1" x14ac:dyDescent="0.35">
      <c r="A10" s="1" t="s">
        <v>88</v>
      </c>
      <c r="B10" s="15">
        <v>40000</v>
      </c>
    </row>
    <row r="11" spans="1:6" ht="15" thickBot="1" x14ac:dyDescent="0.35">
      <c r="A11" s="1" t="s">
        <v>89</v>
      </c>
      <c r="B11" s="69">
        <f>+PLANTILLA!$C$54</f>
        <v>39859.504297520667</v>
      </c>
    </row>
    <row r="13" spans="1:6" ht="59.1" customHeight="1" x14ac:dyDescent="0.3">
      <c r="B13" s="16" t="s">
        <v>133</v>
      </c>
      <c r="C13" s="16" t="s">
        <v>134</v>
      </c>
      <c r="D13" s="16" t="s">
        <v>126</v>
      </c>
      <c r="E13" s="16" t="s">
        <v>127</v>
      </c>
    </row>
    <row r="14" spans="1:6" x14ac:dyDescent="0.3">
      <c r="A14" s="7" t="s">
        <v>53</v>
      </c>
      <c r="B14" s="2">
        <f>325/1.21</f>
        <v>268.59504132231405</v>
      </c>
      <c r="C14" s="13">
        <v>2</v>
      </c>
      <c r="D14" s="66">
        <f>+B14*C14</f>
        <v>537.19008264462809</v>
      </c>
      <c r="E14" s="46">
        <f>+D14/'Capítulo 1'!$B$12</f>
        <v>1.3429752066115703E-2</v>
      </c>
      <c r="F14" s="37" t="s">
        <v>189</v>
      </c>
    </row>
    <row r="15" spans="1:6" x14ac:dyDescent="0.3">
      <c r="A15" s="7" t="s">
        <v>55</v>
      </c>
      <c r="B15" s="2">
        <f>1400/1.21</f>
        <v>1157.0247933884298</v>
      </c>
      <c r="C15" s="13">
        <v>4</v>
      </c>
      <c r="D15" s="66">
        <f>+B15*C15</f>
        <v>4628.0991735537191</v>
      </c>
      <c r="E15" s="46">
        <f>B15/B11</f>
        <v>2.902757607701606E-2</v>
      </c>
    </row>
    <row r="16" spans="1:6" x14ac:dyDescent="0.3">
      <c r="A16" s="7"/>
      <c r="D16" s="68">
        <f>SUM(D14:D15)</f>
        <v>5165.2892561983472</v>
      </c>
      <c r="E16" s="70">
        <f>SUM(E14:E15)</f>
        <v>4.2457328143131759E-2</v>
      </c>
    </row>
  </sheetData>
  <hyperlinks>
    <hyperlink ref="A6" r:id="rId1" xr:uid="{AC04CF93-5E2A-40D6-BD75-B669C2AFFD0F}"/>
    <hyperlink ref="F14" r:id="rId2" display="https://avacab-audiovisuales.com/es/raid/4975-stardom-sohotank-st4b31-caja-raid-de-4-bahias-sata-2535-10gbps.html" xr:uid="{025306EE-0120-4FE8-B213-8A3322B7F6C9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AAC98-8CEA-4C50-8D6B-291F5E0B66D4}">
  <sheetPr>
    <tabColor theme="9" tint="-0.249977111117893"/>
  </sheetPr>
  <dimension ref="A1:E20"/>
  <sheetViews>
    <sheetView workbookViewId="0">
      <selection activeCell="B14" sqref="B14"/>
    </sheetView>
  </sheetViews>
  <sheetFormatPr baseColWidth="10" defaultColWidth="11.44140625" defaultRowHeight="14.4" x14ac:dyDescent="0.3"/>
  <cols>
    <col min="1" max="1" width="39.77734375" customWidth="1"/>
    <col min="2" max="2" width="13.44140625" customWidth="1"/>
    <col min="4" max="4" width="17.77734375" customWidth="1"/>
    <col min="5" max="5" width="16.77734375" customWidth="1"/>
    <col min="6" max="6" width="17" customWidth="1"/>
    <col min="8" max="8" width="18.21875" customWidth="1"/>
  </cols>
  <sheetData>
    <row r="1" spans="1:5" x14ac:dyDescent="0.3">
      <c r="A1" s="6" t="s">
        <v>56</v>
      </c>
    </row>
    <row r="3" spans="1:5" x14ac:dyDescent="0.3">
      <c r="A3" t="s">
        <v>154</v>
      </c>
    </row>
    <row r="4" spans="1:5" x14ac:dyDescent="0.3">
      <c r="A4" t="s">
        <v>155</v>
      </c>
    </row>
    <row r="5" spans="1:5" ht="15" thickBot="1" x14ac:dyDescent="0.35"/>
    <row r="6" spans="1:5" ht="15" thickBot="1" x14ac:dyDescent="0.35">
      <c r="A6" s="1" t="s">
        <v>88</v>
      </c>
      <c r="B6" s="15">
        <v>40000</v>
      </c>
    </row>
    <row r="7" spans="1:5" ht="15" thickBot="1" x14ac:dyDescent="0.35">
      <c r="A7" s="1" t="s">
        <v>89</v>
      </c>
      <c r="B7" s="69">
        <f>+PLANTILLA!$C$54</f>
        <v>39859.504297520667</v>
      </c>
    </row>
    <row r="8" spans="1:5" x14ac:dyDescent="0.3">
      <c r="A8" s="1"/>
    </row>
    <row r="9" spans="1:5" x14ac:dyDescent="0.3">
      <c r="A9" s="1"/>
    </row>
    <row r="11" spans="1:5" ht="47.55" customHeight="1" x14ac:dyDescent="0.3">
      <c r="B11" s="16" t="s">
        <v>156</v>
      </c>
      <c r="C11" s="16" t="s">
        <v>157</v>
      </c>
      <c r="D11" s="16" t="s">
        <v>128</v>
      </c>
      <c r="E11" s="16" t="s">
        <v>127</v>
      </c>
    </row>
    <row r="12" spans="1:5" x14ac:dyDescent="0.3">
      <c r="A12" s="7" t="s">
        <v>57</v>
      </c>
    </row>
    <row r="13" spans="1:5" x14ac:dyDescent="0.3">
      <c r="A13" t="s">
        <v>158</v>
      </c>
      <c r="B13">
        <f>'Capítulo 2'!C26</f>
        <v>2861.56</v>
      </c>
      <c r="C13" s="13">
        <v>2</v>
      </c>
      <c r="D13" s="66">
        <f>+'Capítulo 2'!C25*2</f>
        <v>828.96</v>
      </c>
      <c r="E13" s="46">
        <f>+D13/'Capítulo 1'!$B$12</f>
        <v>2.0723999999999999E-2</v>
      </c>
    </row>
    <row r="14" spans="1:5" x14ac:dyDescent="0.3">
      <c r="A14" t="s">
        <v>159</v>
      </c>
      <c r="B14">
        <f>'Capítulo 3'!C12+'Capítulo 3'!C13+'Capítulo 3'!C14+'Capítulo 3'!C15+'Capítulo 3'!C16+'Capítulo 3'!C20/6</f>
        <v>1680</v>
      </c>
      <c r="C14" s="13">
        <v>6</v>
      </c>
      <c r="D14" s="66">
        <f>+'Capítulo 3'!G21</f>
        <v>3844.5</v>
      </c>
      <c r="E14" s="46">
        <f>+D14/'Capítulo 1'!$B$12</f>
        <v>9.6112500000000003E-2</v>
      </c>
    </row>
    <row r="15" spans="1:5" x14ac:dyDescent="0.3">
      <c r="A15" s="1" t="s">
        <v>160</v>
      </c>
      <c r="D15" s="68">
        <f>+D13+D14</f>
        <v>4673.46</v>
      </c>
      <c r="E15" s="70">
        <f>SUM(E13:E14)</f>
        <v>0.11683650000000001</v>
      </c>
    </row>
    <row r="16" spans="1:5" x14ac:dyDescent="0.3">
      <c r="A16" s="1"/>
      <c r="D16" s="36"/>
      <c r="E16" s="38"/>
    </row>
    <row r="17" spans="1:5" ht="43.2" x14ac:dyDescent="0.3">
      <c r="B17" s="16" t="s">
        <v>133</v>
      </c>
      <c r="C17" s="16" t="s">
        <v>134</v>
      </c>
      <c r="D17" s="16" t="s">
        <v>128</v>
      </c>
      <c r="E17" s="16" t="s">
        <v>127</v>
      </c>
    </row>
    <row r="18" spans="1:5" x14ac:dyDescent="0.3">
      <c r="A18" s="6" t="s">
        <v>58</v>
      </c>
      <c r="B18" s="2">
        <v>125</v>
      </c>
      <c r="C18" s="13">
        <v>4</v>
      </c>
      <c r="D18" s="66">
        <f>+B18*C18</f>
        <v>500</v>
      </c>
      <c r="E18" s="46">
        <f>+D18/'Capítulo 1'!$B$12</f>
        <v>1.2500000000000001E-2</v>
      </c>
    </row>
    <row r="19" spans="1:5" x14ac:dyDescent="0.3">
      <c r="E19" s="39"/>
    </row>
    <row r="20" spans="1:5" x14ac:dyDescent="0.3">
      <c r="A20" s="1" t="s">
        <v>161</v>
      </c>
      <c r="D20" s="68">
        <f>+D15+D18</f>
        <v>5173.46</v>
      </c>
      <c r="E20" s="47">
        <f>+D20/'Capítulo 1'!$B$12</f>
        <v>0.12933649999999999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1B1C-B4EB-4D18-8406-0E7C34EDB950}">
  <sheetPr>
    <tabColor theme="9" tint="-0.249977111117893"/>
  </sheetPr>
  <dimension ref="A1:E15"/>
  <sheetViews>
    <sheetView workbookViewId="0">
      <selection activeCell="B15" sqref="B15"/>
    </sheetView>
  </sheetViews>
  <sheetFormatPr baseColWidth="10" defaultColWidth="11.44140625" defaultRowHeight="14.4" x14ac:dyDescent="0.3"/>
  <cols>
    <col min="1" max="1" width="41.21875" customWidth="1"/>
    <col min="3" max="3" width="13.44140625" customWidth="1"/>
    <col min="5" max="5" width="20" customWidth="1"/>
  </cols>
  <sheetData>
    <row r="1" spans="1:5" x14ac:dyDescent="0.3">
      <c r="A1" s="6" t="s">
        <v>59</v>
      </c>
    </row>
    <row r="3" spans="1:5" x14ac:dyDescent="0.3">
      <c r="A3" t="s">
        <v>162</v>
      </c>
    </row>
    <row r="4" spans="1:5" x14ac:dyDescent="0.3">
      <c r="A4" t="s">
        <v>163</v>
      </c>
    </row>
    <row r="5" spans="1:5" x14ac:dyDescent="0.3">
      <c r="A5" t="s">
        <v>164</v>
      </c>
    </row>
    <row r="6" spans="1:5" x14ac:dyDescent="0.3">
      <c r="A6" t="s">
        <v>165</v>
      </c>
    </row>
    <row r="7" spans="1:5" ht="15" thickBot="1" x14ac:dyDescent="0.35"/>
    <row r="8" spans="1:5" ht="15" thickBot="1" x14ac:dyDescent="0.35">
      <c r="A8" s="1" t="s">
        <v>88</v>
      </c>
      <c r="B8" s="15">
        <v>40000</v>
      </c>
    </row>
    <row r="9" spans="1:5" ht="15" thickBot="1" x14ac:dyDescent="0.35">
      <c r="A9" s="1" t="s">
        <v>89</v>
      </c>
      <c r="B9" s="69">
        <f>+PLANTILLA!$C$54</f>
        <v>39859.504297520667</v>
      </c>
    </row>
    <row r="11" spans="1:5" ht="53.1" customHeight="1" x14ac:dyDescent="0.3">
      <c r="B11" s="16" t="s">
        <v>133</v>
      </c>
      <c r="C11" s="16" t="s">
        <v>134</v>
      </c>
      <c r="D11" s="16" t="s">
        <v>126</v>
      </c>
      <c r="E11" s="16" t="s">
        <v>127</v>
      </c>
    </row>
    <row r="12" spans="1:5" x14ac:dyDescent="0.3">
      <c r="A12" s="7" t="s">
        <v>60</v>
      </c>
      <c r="B12" s="2">
        <f>350/1.21</f>
        <v>289.25619834710744</v>
      </c>
      <c r="C12" s="13">
        <v>1</v>
      </c>
      <c r="D12" s="66">
        <f>+B12*C12</f>
        <v>289.25619834710744</v>
      </c>
      <c r="E12" s="46">
        <f>+D12/'Capítulo 1'!$B$12</f>
        <v>7.2314049586776862E-3</v>
      </c>
    </row>
    <row r="13" spans="1:5" x14ac:dyDescent="0.3">
      <c r="A13" s="7" t="s">
        <v>61</v>
      </c>
      <c r="B13" s="2">
        <f>30/1.21</f>
        <v>24.793388429752067</v>
      </c>
      <c r="C13" s="13">
        <v>8</v>
      </c>
      <c r="D13" s="66">
        <f>+B13*C13</f>
        <v>198.34710743801654</v>
      </c>
      <c r="E13" s="46">
        <f>+D13/'Capítulo 1'!$B$12</f>
        <v>4.9586776859504135E-3</v>
      </c>
    </row>
    <row r="14" spans="1:5" x14ac:dyDescent="0.3">
      <c r="A14" s="7" t="s">
        <v>62</v>
      </c>
      <c r="B14" s="2">
        <f>30</f>
        <v>30</v>
      </c>
      <c r="C14" s="13">
        <v>4</v>
      </c>
      <c r="D14" s="66">
        <f>+B14*C14</f>
        <v>120</v>
      </c>
      <c r="E14" s="46">
        <f>+D14/'Capítulo 1'!$B$12</f>
        <v>3.0000000000000001E-3</v>
      </c>
    </row>
    <row r="15" spans="1:5" x14ac:dyDescent="0.3">
      <c r="D15" s="68">
        <f>SUM(D12:D14)</f>
        <v>607.60330578512401</v>
      </c>
      <c r="E15" s="70">
        <f>SUM(E12:E14)</f>
        <v>1.5190082644628098E-2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1CFFA-779A-4092-A73E-22AFD6CD5CDC}">
  <sheetPr>
    <tabColor theme="9" tint="-0.249977111117893"/>
  </sheetPr>
  <dimension ref="A1:E15"/>
  <sheetViews>
    <sheetView workbookViewId="0">
      <selection activeCell="B15" sqref="B15"/>
    </sheetView>
  </sheetViews>
  <sheetFormatPr baseColWidth="10" defaultColWidth="11.44140625" defaultRowHeight="14.4" x14ac:dyDescent="0.3"/>
  <cols>
    <col min="1" max="1" width="39.21875" customWidth="1"/>
    <col min="5" max="5" width="16.77734375" customWidth="1"/>
  </cols>
  <sheetData>
    <row r="1" spans="1:5" x14ac:dyDescent="0.3">
      <c r="A1" s="6" t="s">
        <v>63</v>
      </c>
    </row>
    <row r="3" spans="1:5" x14ac:dyDescent="0.3">
      <c r="A3" t="s">
        <v>166</v>
      </c>
    </row>
    <row r="4" spans="1:5" x14ac:dyDescent="0.3">
      <c r="A4" t="s">
        <v>167</v>
      </c>
    </row>
    <row r="5" spans="1:5" x14ac:dyDescent="0.3">
      <c r="A5" s="37" t="s">
        <v>168</v>
      </c>
    </row>
    <row r="6" spans="1:5" x14ac:dyDescent="0.3">
      <c r="A6" t="s">
        <v>169</v>
      </c>
    </row>
    <row r="7" spans="1:5" x14ac:dyDescent="0.3">
      <c r="A7" t="s">
        <v>170</v>
      </c>
    </row>
    <row r="8" spans="1:5" ht="15" thickBot="1" x14ac:dyDescent="0.35"/>
    <row r="9" spans="1:5" ht="15" thickBot="1" x14ac:dyDescent="0.35">
      <c r="A9" s="1" t="s">
        <v>88</v>
      </c>
      <c r="B9" s="15">
        <v>40000</v>
      </c>
    </row>
    <row r="10" spans="1:5" ht="15" thickBot="1" x14ac:dyDescent="0.35">
      <c r="A10" s="1" t="s">
        <v>89</v>
      </c>
      <c r="B10" s="69">
        <f>+PLANTILLA!$C$54</f>
        <v>39859.504297520667</v>
      </c>
    </row>
    <row r="12" spans="1:5" ht="43.2" x14ac:dyDescent="0.3">
      <c r="A12" s="7"/>
      <c r="B12" s="16" t="s">
        <v>133</v>
      </c>
      <c r="C12" s="16" t="s">
        <v>171</v>
      </c>
      <c r="D12" s="16" t="s">
        <v>126</v>
      </c>
      <c r="E12" s="16" t="s">
        <v>127</v>
      </c>
    </row>
    <row r="13" spans="1:5" x14ac:dyDescent="0.3">
      <c r="A13" t="s">
        <v>172</v>
      </c>
      <c r="B13" s="2">
        <f>50</f>
        <v>50</v>
      </c>
      <c r="C13" s="13">
        <v>8</v>
      </c>
      <c r="D13" s="66">
        <f>+B13*C13</f>
        <v>400</v>
      </c>
      <c r="E13" s="46">
        <f>+D13/'Capítulo 1'!$B$12</f>
        <v>0.01</v>
      </c>
    </row>
    <row r="14" spans="1:5" x14ac:dyDescent="0.3">
      <c r="A14" t="s">
        <v>173</v>
      </c>
      <c r="B14" s="2">
        <f>25*2+30*2/1.21</f>
        <v>99.586776859504141</v>
      </c>
      <c r="C14" s="13">
        <v>8</v>
      </c>
      <c r="D14" s="66">
        <f>+B14*C14</f>
        <v>796.69421487603313</v>
      </c>
      <c r="E14" s="46">
        <f>+D14/'Capítulo 1'!$B$12</f>
        <v>1.9917355371900827E-2</v>
      </c>
    </row>
    <row r="15" spans="1:5" x14ac:dyDescent="0.3">
      <c r="D15" s="68">
        <f>SUM(D13:D14)</f>
        <v>1196.6942148760331</v>
      </c>
      <c r="E15" s="70">
        <f>SUM(E13:E14)</f>
        <v>2.9917355371900829E-2</v>
      </c>
    </row>
  </sheetData>
  <hyperlinks>
    <hyperlink ref="A5" r:id="rId1" xr:uid="{D777F545-1BF9-471A-9C3F-CEB1255816F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610c4a-c296-4cf0-a9d6-293a7fde9ba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41C4C35D1DE1418E305208A4239586" ma:contentTypeVersion="5" ma:contentTypeDescription="Crear nuevo documento." ma:contentTypeScope="" ma:versionID="69c363877b331fe19c48a028669929ea">
  <xsd:schema xmlns:xsd="http://www.w3.org/2001/XMLSchema" xmlns:xs="http://www.w3.org/2001/XMLSchema" xmlns:p="http://schemas.microsoft.com/office/2006/metadata/properties" xmlns:ns3="dd610c4a-c296-4cf0-a9d6-293a7fde9ba8" targetNamespace="http://schemas.microsoft.com/office/2006/metadata/properties" ma:root="true" ma:fieldsID="99c8966e8a12e70d2852caad531cfc19" ns3:_="">
    <xsd:import namespace="dd610c4a-c296-4cf0-a9d6-293a7fde9ba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10c4a-c296-4cf0-a9d6-293a7fde9ba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8D063-282F-48A6-9AA3-5737E63CD552}">
  <ds:schemaRefs>
    <ds:schemaRef ds:uri="http://schemas.microsoft.com/office/2006/documentManagement/types"/>
    <ds:schemaRef ds:uri="http://schemas.openxmlformats.org/package/2006/metadata/core-properties"/>
    <ds:schemaRef ds:uri="dd610c4a-c296-4cf0-a9d6-293a7fde9ba8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56DB643-519C-46C1-9BBF-2C56C6E918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005379-9215-476E-B749-7316C7C2B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610c4a-c296-4cf0-a9d6-293a7fde9b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PLANTEAMIENTO</vt:lpstr>
      <vt:lpstr>PLANTILLA</vt:lpstr>
      <vt:lpstr>Capítulo 1</vt:lpstr>
      <vt:lpstr>Capítulo 2</vt:lpstr>
      <vt:lpstr>Capítulo 3</vt:lpstr>
      <vt:lpstr>Capítulo 4</vt:lpstr>
      <vt:lpstr>Capítulo 5</vt:lpstr>
      <vt:lpstr>Capítulo 6</vt:lpstr>
      <vt:lpstr>Capítulo 7</vt:lpstr>
      <vt:lpstr>Capítulo 8 y 9</vt:lpstr>
      <vt:lpstr>Capítulo 10</vt:lpstr>
      <vt:lpstr>Capítulo 11</vt:lpstr>
      <vt:lpstr>Capítulo 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Alvaro pdlp</dc:creator>
  <cp:keywords/>
  <dc:description/>
  <cp:lastModifiedBy>FRANCISCA  GONZALEZ MARIN</cp:lastModifiedBy>
  <cp:revision/>
  <cp:lastPrinted>2025-12-30T17:38:43Z</cp:lastPrinted>
  <dcterms:created xsi:type="dcterms:W3CDTF">2023-07-08T18:29:36Z</dcterms:created>
  <dcterms:modified xsi:type="dcterms:W3CDTF">2025-12-30T17:40:26Z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0x010100CA41C4C35D1DE1418E305208A4239586</vt:lpwstr>
  </property>
  <property fmtid="{D5CDD505-2E9C-101B-9397-08002B2CF9AE}" pid="3" name="MediaServiceImageTags">
    <vt:lpwstr/>
  </property>
</Properties>
</file>